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 Hall\Dropbox\Teaching\FIN 229 MSX Finance\Review Sessions\"/>
    </mc:Choice>
  </mc:AlternateContent>
  <xr:revisionPtr revIDLastSave="0" documentId="13_ncr:1_{C3AF6C41-0FB3-48A5-953B-1C729B8699EB}" xr6:coauthVersionLast="46" xr6:coauthVersionMax="46" xr10:uidLastSave="{00000000-0000-0000-0000-000000000000}"/>
  <bookViews>
    <workbookView xWindow="-108" yWindow="-108" windowWidth="23256" windowHeight="12576" activeTab="3" xr2:uid="{2793FFCE-3669-46E6-97E8-0865F690C267}"/>
  </bookViews>
  <sheets>
    <sheet name="PMT Function" sheetId="2" r:id="rId1"/>
    <sheet name="Spreadsheet" sheetId="1" r:id="rId2"/>
    <sheet name="IRR" sheetId="4" r:id="rId3"/>
    <sheet name="Mortgage Refi" sheetId="5" r:id="rId4"/>
    <sheet name="Rounding" sheetId="6" r:id="rId5"/>
    <sheet name="Car Loan" sheetId="3" r:id="rId6"/>
  </sheets>
  <definedNames>
    <definedName name="APR">'PMT Function'!$B$3</definedName>
    <definedName name="CD_rate">'Car Loan'!$I$3</definedName>
    <definedName name="Loan_payment">'Car Loan'!$D$2</definedName>
    <definedName name="Loan_rate">'Car Loan'!$D$3</definedName>
    <definedName name="Monthly_Payment">Spreadsheet!$B$3</definedName>
    <definedName name="New_Variable">Spreadsheet!$I$3</definedName>
    <definedName name="solver_adj" localSheetId="5" hidden="1">'Car Loan'!$D$2</definedName>
    <definedName name="solver_adj" localSheetId="2" hidden="1">IRR!$L$3</definedName>
    <definedName name="solver_adj" localSheetId="1" hidden="1">Spreadsheet!$B$3</definedName>
    <definedName name="solver_cvg" localSheetId="5" hidden="1">0.0001</definedName>
    <definedName name="solver_cvg" localSheetId="2" hidden="1">0.0001</definedName>
    <definedName name="solver_cvg" localSheetId="1" hidden="1">0.0001</definedName>
    <definedName name="solver_drv" localSheetId="5" hidden="1">1</definedName>
    <definedName name="solver_drv" localSheetId="2" hidden="1">2</definedName>
    <definedName name="solver_drv" localSheetId="1" hidden="1">1</definedName>
    <definedName name="solver_eng" localSheetId="5" hidden="1">1</definedName>
    <definedName name="solver_eng" localSheetId="2" hidden="1">1</definedName>
    <definedName name="solver_eng" localSheetId="1" hidden="1">1</definedName>
    <definedName name="solver_est" localSheetId="5" hidden="1">1</definedName>
    <definedName name="solver_est" localSheetId="2" hidden="1">1</definedName>
    <definedName name="solver_est" localSheetId="1" hidden="1">1</definedName>
    <definedName name="solver_itr" localSheetId="5" hidden="1">2147483647</definedName>
    <definedName name="solver_itr" localSheetId="2" hidden="1">2147483647</definedName>
    <definedName name="solver_itr" localSheetId="1" hidden="1">2147483647</definedName>
    <definedName name="solver_mip" localSheetId="5" hidden="1">2147483647</definedName>
    <definedName name="solver_mip" localSheetId="2" hidden="1">2147483647</definedName>
    <definedName name="solver_mip" localSheetId="1" hidden="1">2147483647</definedName>
    <definedName name="solver_mni" localSheetId="5" hidden="1">30</definedName>
    <definedName name="solver_mni" localSheetId="2" hidden="1">30</definedName>
    <definedName name="solver_mni" localSheetId="1" hidden="1">30</definedName>
    <definedName name="solver_mrt" localSheetId="5" hidden="1">0.075</definedName>
    <definedName name="solver_mrt" localSheetId="2" hidden="1">0.075</definedName>
    <definedName name="solver_mrt" localSheetId="1" hidden="1">0.075</definedName>
    <definedName name="solver_msl" localSheetId="5" hidden="1">2</definedName>
    <definedName name="solver_msl" localSheetId="2" hidden="1">2</definedName>
    <definedName name="solver_msl" localSheetId="1" hidden="1">2</definedName>
    <definedName name="solver_neg" localSheetId="5" hidden="1">1</definedName>
    <definedName name="solver_neg" localSheetId="2" hidden="1">1</definedName>
    <definedName name="solver_neg" localSheetId="1" hidden="1">2</definedName>
    <definedName name="solver_nod" localSheetId="5" hidden="1">2147483647</definedName>
    <definedName name="solver_nod" localSheetId="2" hidden="1">2147483647</definedName>
    <definedName name="solver_nod" localSheetId="1" hidden="1">2147483647</definedName>
    <definedName name="solver_num" localSheetId="5" hidden="1">0</definedName>
    <definedName name="solver_num" localSheetId="2" hidden="1">0</definedName>
    <definedName name="solver_num" localSheetId="1" hidden="1">0</definedName>
    <definedName name="solver_nwt" localSheetId="5" hidden="1">1</definedName>
    <definedName name="solver_nwt" localSheetId="2" hidden="1">1</definedName>
    <definedName name="solver_nwt" localSheetId="1" hidden="1">1</definedName>
    <definedName name="solver_opt" localSheetId="5" hidden="1">'Car Loan'!$C$53</definedName>
    <definedName name="solver_opt" localSheetId="2" hidden="1">IRR!$L$8</definedName>
    <definedName name="solver_opt" localSheetId="1" hidden="1">Spreadsheet!$B$16</definedName>
    <definedName name="solver_pre" localSheetId="5" hidden="1">0.000001</definedName>
    <definedName name="solver_pre" localSheetId="2" hidden="1">0.000001</definedName>
    <definedName name="solver_pre" localSheetId="1" hidden="1">0.000001</definedName>
    <definedName name="solver_rbv" localSheetId="5" hidden="1">1</definedName>
    <definedName name="solver_rbv" localSheetId="2" hidden="1">2</definedName>
    <definedName name="solver_rbv" localSheetId="1" hidden="1">1</definedName>
    <definedName name="solver_rlx" localSheetId="5" hidden="1">2</definedName>
    <definedName name="solver_rlx" localSheetId="2" hidden="1">2</definedName>
    <definedName name="solver_rlx" localSheetId="1" hidden="1">2</definedName>
    <definedName name="solver_rsd" localSheetId="5" hidden="1">0</definedName>
    <definedName name="solver_rsd" localSheetId="2" hidden="1">0</definedName>
    <definedName name="solver_rsd" localSheetId="1" hidden="1">0</definedName>
    <definedName name="solver_scl" localSheetId="5" hidden="1">1</definedName>
    <definedName name="solver_scl" localSheetId="2" hidden="1">2</definedName>
    <definedName name="solver_scl" localSheetId="1" hidden="1">1</definedName>
    <definedName name="solver_sho" localSheetId="5" hidden="1">2</definedName>
    <definedName name="solver_sho" localSheetId="2" hidden="1">2</definedName>
    <definedName name="solver_sho" localSheetId="1" hidden="1">2</definedName>
    <definedName name="solver_ssz" localSheetId="5" hidden="1">100</definedName>
    <definedName name="solver_ssz" localSheetId="2" hidden="1">100</definedName>
    <definedName name="solver_ssz" localSheetId="1" hidden="1">100</definedName>
    <definedName name="solver_tim" localSheetId="5" hidden="1">2147483647</definedName>
    <definedName name="solver_tim" localSheetId="2" hidden="1">2147483647</definedName>
    <definedName name="solver_tim" localSheetId="1" hidden="1">2147483647</definedName>
    <definedName name="solver_tol" localSheetId="5" hidden="1">0.01</definedName>
    <definedName name="solver_tol" localSheetId="2" hidden="1">0.01</definedName>
    <definedName name="solver_tol" localSheetId="1" hidden="1">0.01</definedName>
    <definedName name="solver_typ" localSheetId="5" hidden="1">3</definedName>
    <definedName name="solver_typ" localSheetId="2" hidden="1">3</definedName>
    <definedName name="solver_typ" localSheetId="1" hidden="1">3</definedName>
    <definedName name="solver_val" localSheetId="5" hidden="1">0</definedName>
    <definedName name="solver_val" localSheetId="2" hidden="1">0</definedName>
    <definedName name="solver_val" localSheetId="1" hidden="1">0</definedName>
    <definedName name="solver_ver" localSheetId="5" hidden="1">3</definedName>
    <definedName name="solver_ver" localSheetId="2" hidden="1">3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5" l="1"/>
  <c r="A26" i="5"/>
  <c r="D25" i="5"/>
  <c r="B18" i="5"/>
  <c r="A10" i="6"/>
  <c r="A8" i="6"/>
  <c r="A6" i="5"/>
  <c r="A11" i="5" s="1"/>
  <c r="L10" i="4"/>
  <c r="L7" i="4"/>
  <c r="L6" i="4"/>
  <c r="M6" i="4" s="1"/>
  <c r="M7" i="4" s="1"/>
  <c r="B25" i="5"/>
  <c r="B11" i="5"/>
  <c r="D7" i="1"/>
  <c r="J6" i="1"/>
  <c r="L7" i="1" s="1"/>
  <c r="K7" i="1" s="1"/>
  <c r="J7" i="1" s="1"/>
  <c r="L8" i="1" s="1"/>
  <c r="K8" i="1" s="1"/>
  <c r="K4" i="1"/>
  <c r="B6" i="3"/>
  <c r="E6" i="3"/>
  <c r="C7" i="1"/>
  <c r="B7" i="1" s="1"/>
  <c r="B9" i="2"/>
  <c r="D7" i="5" l="1"/>
  <c r="D11" i="5" s="1"/>
  <c r="C12" i="5" s="1"/>
  <c r="A18" i="5"/>
  <c r="N6" i="4"/>
  <c r="J8" i="1"/>
  <c r="L9" i="1"/>
  <c r="D10" i="2"/>
  <c r="B14" i="2" s="1"/>
  <c r="C18" i="5" l="1"/>
  <c r="N7" i="4"/>
  <c r="O6" i="4"/>
  <c r="O7" i="4" s="1"/>
  <c r="K9" i="1"/>
  <c r="J9" i="1" s="1"/>
  <c r="L10" i="1" s="1"/>
  <c r="A13" i="2"/>
  <c r="C25" i="5" l="1"/>
  <c r="D19" i="5"/>
  <c r="A28" i="5"/>
  <c r="L8" i="4"/>
  <c r="K10" i="1"/>
  <c r="J10" i="1" s="1"/>
  <c r="L11" i="1" s="1"/>
  <c r="A29" i="5" l="1"/>
  <c r="A30" i="5" s="1"/>
  <c r="K11" i="1"/>
  <c r="J11" i="1" s="1"/>
  <c r="L12" i="1" s="1"/>
  <c r="K12" i="1" l="1"/>
  <c r="J12" i="1" s="1"/>
  <c r="L13" i="1" s="1"/>
  <c r="K13" i="1" l="1"/>
  <c r="J13" i="1" s="1"/>
  <c r="L14" i="1" s="1"/>
  <c r="K14" i="1" l="1"/>
  <c r="J14" i="1" s="1"/>
  <c r="L15" i="1" s="1"/>
  <c r="I6" i="3"/>
  <c r="H6" i="3" s="1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6" i="3"/>
  <c r="C8" i="1"/>
  <c r="C9" i="1"/>
  <c r="C10" i="1"/>
  <c r="C11" i="1"/>
  <c r="C12" i="1"/>
  <c r="C13" i="1"/>
  <c r="C14" i="1"/>
  <c r="C15" i="1"/>
  <c r="C16" i="1"/>
  <c r="K15" i="1" l="1"/>
  <c r="J15" i="1" s="1"/>
  <c r="L16" i="1" s="1"/>
  <c r="K6" i="3"/>
  <c r="D54" i="3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C6" i="3"/>
  <c r="E7" i="3" s="1"/>
  <c r="K16" i="1" l="1"/>
  <c r="J16" i="1" s="1"/>
  <c r="B49" i="3"/>
  <c r="B50" i="3" s="1"/>
  <c r="B51" i="3" s="1"/>
  <c r="B52" i="3" s="1"/>
  <c r="B53" i="3" s="1"/>
  <c r="K48" i="3"/>
  <c r="C15" i="2"/>
  <c r="K11" i="3"/>
  <c r="K14" i="3"/>
  <c r="K7" i="3"/>
  <c r="K17" i="3"/>
  <c r="K10" i="3"/>
  <c r="K19" i="3"/>
  <c r="K21" i="3"/>
  <c r="K18" i="3"/>
  <c r="K8" i="3"/>
  <c r="K12" i="3"/>
  <c r="K16" i="3"/>
  <c r="K15" i="3"/>
  <c r="K23" i="3"/>
  <c r="K20" i="3"/>
  <c r="K9" i="3"/>
  <c r="K33" i="3"/>
  <c r="K29" i="3"/>
  <c r="K32" i="3"/>
  <c r="K34" i="3"/>
  <c r="K27" i="3"/>
  <c r="K28" i="3"/>
  <c r="K22" i="3"/>
  <c r="K13" i="3"/>
  <c r="K49" i="3"/>
  <c r="K50" i="3"/>
  <c r="K42" i="3"/>
  <c r="K40" i="3"/>
  <c r="K30" i="3"/>
  <c r="K31" i="3"/>
  <c r="K51" i="3"/>
  <c r="K35" i="3"/>
  <c r="K43" i="3"/>
  <c r="K41" i="3"/>
  <c r="K39" i="3"/>
  <c r="K36" i="3"/>
  <c r="K44" i="3"/>
  <c r="K38" i="3"/>
  <c r="K52" i="3"/>
  <c r="K46" i="3"/>
  <c r="K45" i="3"/>
  <c r="K47" i="3"/>
  <c r="K24" i="3"/>
  <c r="K25" i="3"/>
  <c r="K26" i="3"/>
  <c r="K37" i="3"/>
  <c r="I7" i="3"/>
  <c r="H7" i="3" s="1"/>
  <c r="C7" i="3"/>
  <c r="E8" i="3" s="1"/>
  <c r="C8" i="3" s="1"/>
  <c r="D8" i="1"/>
  <c r="B8" i="1" s="1"/>
  <c r="D9" i="1" s="1"/>
  <c r="B9" i="1" s="1"/>
  <c r="D10" i="1" s="1"/>
  <c r="B10" i="1" s="1"/>
  <c r="E9" i="3" l="1"/>
  <c r="D11" i="1"/>
  <c r="B11" i="1" s="1"/>
  <c r="I8" i="3" l="1"/>
  <c r="H8" i="3" s="1"/>
  <c r="C9" i="3"/>
  <c r="E10" i="3" s="1"/>
  <c r="C10" i="3" s="1"/>
  <c r="E11" i="3" s="1"/>
  <c r="D12" i="1"/>
  <c r="B12" i="1" s="1"/>
  <c r="C11" i="3" l="1"/>
  <c r="D13" i="1"/>
  <c r="B13" i="1" s="1"/>
  <c r="I9" i="3" l="1"/>
  <c r="H9" i="3" s="1"/>
  <c r="E12" i="3"/>
  <c r="C12" i="3" s="1"/>
  <c r="D14" i="1"/>
  <c r="B14" i="1" s="1"/>
  <c r="I10" i="3" l="1"/>
  <c r="H10" i="3" s="1"/>
  <c r="E13" i="3"/>
  <c r="C13" i="3" s="1"/>
  <c r="D15" i="1"/>
  <c r="B15" i="1" s="1"/>
  <c r="I11" i="3" l="1"/>
  <c r="H11" i="3" s="1"/>
  <c r="E14" i="3"/>
  <c r="C14" i="3" s="1"/>
  <c r="D16" i="1"/>
  <c r="B16" i="1" s="1"/>
  <c r="I12" i="3" l="1"/>
  <c r="H12" i="3" s="1"/>
  <c r="E15" i="3"/>
  <c r="C15" i="3" s="1"/>
  <c r="I13" i="3" l="1"/>
  <c r="H13" i="3" s="1"/>
  <c r="E16" i="3"/>
  <c r="C16" i="3" s="1"/>
  <c r="I14" i="3" l="1"/>
  <c r="H14" i="3" s="1"/>
  <c r="E17" i="3"/>
  <c r="C17" i="3" s="1"/>
  <c r="I15" i="3" l="1"/>
  <c r="H15" i="3" s="1"/>
  <c r="E18" i="3"/>
  <c r="C18" i="3" s="1"/>
  <c r="I16" i="3" l="1"/>
  <c r="H16" i="3" s="1"/>
  <c r="E19" i="3"/>
  <c r="C19" i="3" s="1"/>
  <c r="I17" i="3" l="1"/>
  <c r="H17" i="3" s="1"/>
  <c r="E20" i="3"/>
  <c r="C20" i="3" s="1"/>
  <c r="I18" i="3" l="1"/>
  <c r="H18" i="3" s="1"/>
  <c r="E21" i="3"/>
  <c r="C21" i="3" s="1"/>
  <c r="I19" i="3" l="1"/>
  <c r="H19" i="3" s="1"/>
  <c r="E22" i="3"/>
  <c r="C22" i="3" s="1"/>
  <c r="I20" i="3" l="1"/>
  <c r="H20" i="3" s="1"/>
  <c r="E23" i="3"/>
  <c r="C23" i="3" s="1"/>
  <c r="I21" i="3" l="1"/>
  <c r="H21" i="3" s="1"/>
  <c r="E24" i="3"/>
  <c r="C24" i="3" s="1"/>
  <c r="I22" i="3" l="1"/>
  <c r="H22" i="3" s="1"/>
  <c r="E25" i="3"/>
  <c r="C25" i="3" s="1"/>
  <c r="I23" i="3" l="1"/>
  <c r="H23" i="3" s="1"/>
  <c r="E26" i="3"/>
  <c r="C26" i="3" s="1"/>
  <c r="I24" i="3" l="1"/>
  <c r="H24" i="3" s="1"/>
  <c r="E27" i="3"/>
  <c r="C27" i="3" s="1"/>
  <c r="I25" i="3" l="1"/>
  <c r="H25" i="3" s="1"/>
  <c r="E28" i="3"/>
  <c r="C28" i="3" s="1"/>
  <c r="I26" i="3" l="1"/>
  <c r="H26" i="3" s="1"/>
  <c r="E29" i="3"/>
  <c r="C29" i="3" s="1"/>
  <c r="I27" i="3" l="1"/>
  <c r="H27" i="3" s="1"/>
  <c r="E30" i="3"/>
  <c r="C30" i="3" s="1"/>
  <c r="I28" i="3" l="1"/>
  <c r="H28" i="3" s="1"/>
  <c r="E31" i="3"/>
  <c r="C31" i="3" s="1"/>
  <c r="I29" i="3" l="1"/>
  <c r="H29" i="3" s="1"/>
  <c r="E32" i="3"/>
  <c r="C32" i="3" s="1"/>
  <c r="I30" i="3" l="1"/>
  <c r="H30" i="3" s="1"/>
  <c r="E33" i="3"/>
  <c r="C33" i="3" s="1"/>
  <c r="I31" i="3" l="1"/>
  <c r="H31" i="3" s="1"/>
  <c r="E34" i="3"/>
  <c r="C34" i="3" s="1"/>
  <c r="I32" i="3" l="1"/>
  <c r="H32" i="3" s="1"/>
  <c r="E35" i="3"/>
  <c r="C35" i="3" s="1"/>
  <c r="I33" i="3" l="1"/>
  <c r="H33" i="3" s="1"/>
  <c r="E36" i="3"/>
  <c r="C36" i="3" s="1"/>
  <c r="I34" i="3" l="1"/>
  <c r="H34" i="3" s="1"/>
  <c r="E37" i="3"/>
  <c r="C37" i="3" s="1"/>
  <c r="I35" i="3" l="1"/>
  <c r="H35" i="3" s="1"/>
  <c r="E38" i="3"/>
  <c r="C38" i="3" s="1"/>
  <c r="I36" i="3" l="1"/>
  <c r="H36" i="3" s="1"/>
  <c r="E39" i="3"/>
  <c r="C39" i="3" s="1"/>
  <c r="I37" i="3" l="1"/>
  <c r="H37" i="3" s="1"/>
  <c r="E40" i="3"/>
  <c r="C40" i="3" s="1"/>
  <c r="I38" i="3" l="1"/>
  <c r="H38" i="3" s="1"/>
  <c r="E41" i="3"/>
  <c r="C41" i="3" s="1"/>
  <c r="I39" i="3" l="1"/>
  <c r="H39" i="3" s="1"/>
  <c r="E42" i="3"/>
  <c r="C42" i="3" s="1"/>
  <c r="I40" i="3" l="1"/>
  <c r="H40" i="3" s="1"/>
  <c r="E43" i="3"/>
  <c r="C43" i="3" s="1"/>
  <c r="I41" i="3" l="1"/>
  <c r="H41" i="3" s="1"/>
  <c r="E44" i="3"/>
  <c r="C44" i="3" s="1"/>
  <c r="I42" i="3" l="1"/>
  <c r="H42" i="3" s="1"/>
  <c r="E45" i="3"/>
  <c r="C45" i="3" s="1"/>
  <c r="I43" i="3" l="1"/>
  <c r="H43" i="3" s="1"/>
  <c r="E46" i="3"/>
  <c r="C46" i="3" s="1"/>
  <c r="I44" i="3" l="1"/>
  <c r="H44" i="3" s="1"/>
  <c r="E47" i="3"/>
  <c r="C47" i="3" s="1"/>
  <c r="I45" i="3" l="1"/>
  <c r="H45" i="3" s="1"/>
  <c r="E48" i="3"/>
  <c r="C48" i="3" s="1"/>
  <c r="I46" i="3" l="1"/>
  <c r="H46" i="3" s="1"/>
  <c r="E49" i="3"/>
  <c r="C49" i="3" s="1"/>
  <c r="I47" i="3" l="1"/>
  <c r="H47" i="3" s="1"/>
  <c r="E50" i="3"/>
  <c r="C50" i="3" s="1"/>
  <c r="I48" i="3" l="1"/>
  <c r="H48" i="3" s="1"/>
  <c r="E51" i="3"/>
  <c r="C51" i="3" s="1"/>
  <c r="I49" i="3" l="1"/>
  <c r="H49" i="3" s="1"/>
  <c r="E52" i="3"/>
  <c r="C52" i="3" s="1"/>
  <c r="I50" i="3" l="1"/>
  <c r="H50" i="3" s="1"/>
  <c r="E53" i="3"/>
  <c r="I51" i="3" l="1"/>
  <c r="H51" i="3" s="1"/>
  <c r="C53" i="3"/>
  <c r="E54" i="3"/>
  <c r="I52" i="3" l="1"/>
  <c r="H52" i="3" s="1"/>
  <c r="I53" i="3" l="1"/>
  <c r="I54" i="3" s="1"/>
  <c r="H53" i="3" l="1"/>
  <c r="J53" i="3" s="1"/>
  <c r="K53" i="3" l="1"/>
  <c r="K54" i="3" s="1"/>
</calcChain>
</file>

<file path=xl/sharedStrings.xml><?xml version="1.0" encoding="utf-8"?>
<sst xmlns="http://schemas.openxmlformats.org/spreadsheetml/2006/main" count="130" uniqueCount="91">
  <si>
    <t>Month</t>
  </si>
  <si>
    <t>Balance</t>
  </si>
  <si>
    <t>Payment</t>
  </si>
  <si>
    <t>Interest Accrued</t>
  </si>
  <si>
    <t>APR</t>
  </si>
  <si>
    <t>Monthly Payment</t>
  </si>
  <si>
    <t>PV</t>
  </si>
  <si>
    <t>PMT</t>
  </si>
  <si>
    <t>FV</t>
  </si>
  <si>
    <t>Solve using excel PMT function</t>
  </si>
  <si>
    <t>NPER</t>
  </si>
  <si>
    <t>RATE</t>
  </si>
  <si>
    <t>Excel can calculate any of these 5 variables given the other 4</t>
  </si>
  <si>
    <t>The Spreadsheet Method is highly flexible, and often worth the extra work</t>
  </si>
  <si>
    <t>You have a 10-month loan at 5.82% APR with $10,000 principal. What are the monthly payments?</t>
  </si>
  <si>
    <t>LOAN</t>
  </si>
  <si>
    <t>Certificate</t>
  </si>
  <si>
    <t>CD_rate</t>
  </si>
  <si>
    <t>Loan_rate</t>
  </si>
  <si>
    <t>Interest</t>
  </si>
  <si>
    <t>Period</t>
  </si>
  <si>
    <t xml:space="preserve">loan </t>
  </si>
  <si>
    <t>Loan_payment</t>
  </si>
  <si>
    <t>Discount Factor</t>
  </si>
  <si>
    <t>NPV of Total Cash Flows</t>
  </si>
  <si>
    <t>Solve Using Spreadsheet Method &amp; Solver</t>
  </si>
  <si>
    <t xml:space="preserve">&lt; Use Solver to change this </t>
  </si>
  <si>
    <t xml:space="preserve">^Use Solver to set this to 0 </t>
  </si>
  <si>
    <t>NPV</t>
  </si>
  <si>
    <t>Total Payments</t>
  </si>
  <si>
    <t>Total Interest Payments</t>
  </si>
  <si>
    <t>Should You Pay Cash?</t>
  </si>
  <si>
    <t>Total Interest</t>
  </si>
  <si>
    <t>Quiz:</t>
  </si>
  <si>
    <t xml:space="preserve">Q: Total Interest on the CD is higher than Total Interest on the Car Loan. Does that mean taking the Loan + CD is a good deal? </t>
  </si>
  <si>
    <t xml:space="preserve">Q: When do the interest payments from the CD become Free Cash Flow? </t>
  </si>
  <si>
    <t>Q: What do we look at to make profit-maximizing decisions in Finance?</t>
  </si>
  <si>
    <t xml:space="preserve">A: At the end of the life of the CD </t>
  </si>
  <si>
    <t xml:space="preserve">A: No! You need to look at when you get the free cash flows! </t>
  </si>
  <si>
    <t xml:space="preserve">Q: When do the interest payments on the Car Loan get paid? </t>
  </si>
  <si>
    <t xml:space="preserve">Q: Why does this distinction matter? </t>
  </si>
  <si>
    <t>A: Each month</t>
  </si>
  <si>
    <t>A: Money has time value</t>
  </si>
  <si>
    <t>Number of Periods</t>
  </si>
  <si>
    <t>Interest Rate</t>
  </si>
  <si>
    <t>Present Value</t>
  </si>
  <si>
    <t>Final Value</t>
  </si>
  <si>
    <t>FCF</t>
  </si>
  <si>
    <t>Payment (Free Cash Flows)</t>
  </si>
  <si>
    <t xml:space="preserve">A: NPV (Specifically, is NPV&gt;0?) </t>
  </si>
  <si>
    <t xml:space="preserve">"Amortization" </t>
  </si>
  <si>
    <t xml:space="preserve">The process of paying down a loan while interest is accruing on it </t>
  </si>
  <si>
    <t>Base Payment</t>
  </si>
  <si>
    <t>What if the monthly payment isn't fixed? Can you pay off the loan just by paying down the principal in a straight line ("base payment") and paying the interest every month?</t>
  </si>
  <si>
    <t>A: Yes, but your monthly payments will be decreasing over time, and people (1) are impatient and (2) tend to increase rather than decrease their income over time</t>
  </si>
  <si>
    <t>Internal Rate of Return (IRR)</t>
  </si>
  <si>
    <t xml:space="preserve">Definition: The Discount Rate/ Cost of Capital at which a Project has NPV = 0 </t>
  </si>
  <si>
    <t xml:space="preserve">The "IRR Rule" says to invest if the IRR is higher than your actual Cost of Capital </t>
  </si>
  <si>
    <t xml:space="preserve">Q: When is this rule reliable? </t>
  </si>
  <si>
    <t xml:space="preserve">When the project has all negative free cash flows, followed by all positive free cash flows </t>
  </si>
  <si>
    <t xml:space="preserve">Q: When is this rule unreliable? </t>
  </si>
  <si>
    <t>A: When the project has positive and negative free cash flows not in the order above</t>
  </si>
  <si>
    <t xml:space="preserve">Q: What is the easiest way to calculate IRR? </t>
  </si>
  <si>
    <t xml:space="preserve">Q: What is "The IRR Rule"? </t>
  </si>
  <si>
    <t>What are the monthly payments on this mortgage?</t>
  </si>
  <si>
    <t>&lt;Answer</t>
  </si>
  <si>
    <t>You have made payments for 5 years and 3 months. How much do you owe?</t>
  </si>
  <si>
    <t>You have a 30 year mortgage, originally at 6.69% APR with monthly payments. The original balance is $1,250,000</t>
  </si>
  <si>
    <t xml:space="preserve">months is </t>
  </si>
  <si>
    <t xml:space="preserve">years and </t>
  </si>
  <si>
    <t>months</t>
  </si>
  <si>
    <t>CoC</t>
  </si>
  <si>
    <t>discount rate</t>
  </si>
  <si>
    <t xml:space="preserve">&lt;IRR is this value when NPV = 0 </t>
  </si>
  <si>
    <t>A: More flexible solution: Set up a spreadsheet to calculate NPV, then use solver to set Cost of Capital so NPV = 0</t>
  </si>
  <si>
    <t>A: IRR() Function (thank you Wenyi)</t>
  </si>
  <si>
    <t xml:space="preserve">APR is "Annual Percentage Rate". Not to be confused with the Annual Effective Interest Rate, which is higher because of compounding. </t>
  </si>
  <si>
    <t>ALWAYS PUT ZERO FOR FINAL VALUE</t>
  </si>
  <si>
    <t>NEVER USE THE FV FUNCTION</t>
  </si>
  <si>
    <t>Interest rate of 0.002%</t>
  </si>
  <si>
    <t>Start with $100</t>
  </si>
  <si>
    <t>Compound over 1,000,000 months</t>
  </si>
  <si>
    <t xml:space="preserve">If we round that 1.00002 down to 1 </t>
  </si>
  <si>
    <t xml:space="preserve">Rounding is important </t>
  </si>
  <si>
    <t xml:space="preserve">Rounding is extra important if it's the discount rate </t>
  </si>
  <si>
    <t xml:space="preserve">Always reference with "=" rather than copying and pasting, or copying over the rounded number </t>
  </si>
  <si>
    <t xml:space="preserve">You can now refinance the mortgage at 4.20%. </t>
  </si>
  <si>
    <t xml:space="preserve">You want to pay off the mortgage in the same time period you had planned. </t>
  </si>
  <si>
    <t>What are your new monthly payments?</t>
  </si>
  <si>
    <t>Lets say you want to refinance with the same payments, but in a shorter time period.</t>
  </si>
  <si>
    <t xml:space="preserve"> How many months can you pay it off now that you can get it at a lower interest rate?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</si>
</sst>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8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10" fontId="0" fillId="0" borderId="0" xfId="0" applyNumberFormat="1"/>
    <xf numFmtId="164" fontId="0" fillId="0" borderId="0" xfId="1" applyNumberFormat="1" applyFont="1"/>
    <xf numFmtId="0" fontId="2" fillId="0" borderId="0" xfId="0" applyFont="1"/>
    <xf numFmtId="0" fontId="0" fillId="0" borderId="0" xfId="0" applyAlignment="1">
      <alignment horizontal="right" indent="4"/>
    </xf>
    <xf numFmtId="0" fontId="2" fillId="0" borderId="1" xfId="0" applyFont="1" applyBorder="1" applyAlignment="1">
      <alignment horizontal="center"/>
    </xf>
    <xf numFmtId="8" fontId="0" fillId="0" borderId="0" xfId="0" applyNumberFormat="1"/>
    <xf numFmtId="6" fontId="0" fillId="0" borderId="0" xfId="0" applyNumberFormat="1"/>
    <xf numFmtId="0" fontId="2" fillId="0" borderId="1" xfId="0" applyFont="1" applyBorder="1"/>
    <xf numFmtId="164" fontId="3" fillId="0" borderId="0" xfId="1" applyNumberFormat="1" applyFont="1"/>
    <xf numFmtId="10" fontId="0" fillId="0" borderId="0" xfId="2" applyNumberFormat="1" applyFont="1"/>
    <xf numFmtId="0" fontId="0" fillId="0" borderId="1" xfId="0" applyBorder="1"/>
    <xf numFmtId="9" fontId="0" fillId="0" borderId="0" xfId="0" applyNumberFormat="1"/>
    <xf numFmtId="44" fontId="0" fillId="0" borderId="0" xfId="1" applyFont="1"/>
    <xf numFmtId="164" fontId="0" fillId="0" borderId="0" xfId="0" applyNumberFormat="1"/>
    <xf numFmtId="44" fontId="2" fillId="0" borderId="0" xfId="1" applyFont="1"/>
    <xf numFmtId="2" fontId="0" fillId="0" borderId="0" xfId="0" applyNumberFormat="1"/>
    <xf numFmtId="164" fontId="0" fillId="0" borderId="0" xfId="0" applyNumberFormat="1" applyFont="1"/>
    <xf numFmtId="0" fontId="0" fillId="0" borderId="0" xfId="0" applyFont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4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2" borderId="0" xfId="0" applyFill="1"/>
    <xf numFmtId="185" fontId="0" fillId="0" borderId="0" xfId="3" applyNumberFormat="1" applyFont="1"/>
    <xf numFmtId="0" fontId="0" fillId="0" borderId="0" xfId="2" applyNumberFormat="1" applyFont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"Amortization Schedule"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'Car Loan'!$C$5:$C$53</c:f>
              <c:numCache>
                <c:formatCode>_("$"* #,##0_);_("$"* \(#,##0\);_("$"* "-"??_);_(@_)</c:formatCode>
                <c:ptCount val="49"/>
                <c:pt idx="0" formatCode="General">
                  <c:v>8000</c:v>
                </c:pt>
                <c:pt idx="1">
                  <c:v>7945.3141406923187</c:v>
                </c:pt>
                <c:pt idx="2">
                  <c:v>7888.3497039134845</c:v>
                </c:pt>
                <c:pt idx="3">
                  <c:v>7829.0117489355316</c:v>
                </c:pt>
                <c:pt idx="4">
                  <c:v>7767.2013791668314</c:v>
                </c:pt>
                <c:pt idx="5">
                  <c:v>7702.8155773244353</c:v>
                </c:pt>
                <c:pt idx="6">
                  <c:v>7635.7470337386058</c:v>
                </c:pt>
                <c:pt idx="7">
                  <c:v>7565.8839675033669</c:v>
                </c:pt>
                <c:pt idx="8">
                  <c:v>7493.1099401749925</c:v>
                </c:pt>
                <c:pt idx="9">
                  <c:v>7417.303661707936</c:v>
                </c:pt>
                <c:pt idx="10">
                  <c:v>7338.3387883047526</c:v>
                </c:pt>
                <c:pt idx="11">
                  <c:v>7256.0837118431027</c:v>
                </c:pt>
                <c:pt idx="12">
                  <c:v>7170.4013405288842</c:v>
                </c:pt>
                <c:pt idx="13">
                  <c:v>7081.1488704099065</c:v>
                </c:pt>
                <c:pt idx="14">
                  <c:v>6988.1775473693051</c:v>
                </c:pt>
                <c:pt idx="15">
                  <c:v>6891.3324192020118</c:v>
                </c:pt>
                <c:pt idx="16">
                  <c:v>6790.4520773610811</c:v>
                </c:pt>
                <c:pt idx="17">
                  <c:v>6685.3683879434448</c:v>
                </c:pt>
                <c:pt idx="18">
                  <c:v>6575.9062114667404</c:v>
                </c:pt>
                <c:pt idx="19">
                  <c:v>6461.8831109701732</c:v>
                </c:pt>
                <c:pt idx="20">
                  <c:v>6343.1090479529157</c:v>
                </c:pt>
                <c:pt idx="21">
                  <c:v>6219.3860656432726</c:v>
                </c:pt>
                <c:pt idx="22">
                  <c:v>6090.5079590707282</c:v>
                </c:pt>
                <c:pt idx="23">
                  <c:v>5956.2599313909941</c:v>
                </c:pt>
                <c:pt idx="24">
                  <c:v>5816.4182358912713</c:v>
                </c:pt>
                <c:pt idx="25">
                  <c:v>5670.7498030790603</c:v>
                </c:pt>
                <c:pt idx="26">
                  <c:v>5519.0118522330067</c:v>
                </c:pt>
                <c:pt idx="27">
                  <c:v>5360.9514867683674</c:v>
                </c:pt>
                <c:pt idx="28">
                  <c:v>5196.3052727427021</c:v>
                </c:pt>
                <c:pt idx="29">
                  <c:v>5024.7987997993005</c:v>
                </c:pt>
                <c:pt idx="30">
                  <c:v>4846.1462238165905</c:v>
                </c:pt>
                <c:pt idx="31">
                  <c:v>4660.0497905012671</c:v>
                </c:pt>
                <c:pt idx="32">
                  <c:v>4466.1993391311389</c:v>
                </c:pt>
                <c:pt idx="33">
                  <c:v>4264.2717856205891</c:v>
                </c:pt>
                <c:pt idx="34">
                  <c:v>4053.9305840470993</c:v>
                </c:pt>
                <c:pt idx="35">
                  <c:v>3834.8251657413807</c:v>
                </c:pt>
                <c:pt idx="36">
                  <c:v>3606.5903550062571</c:v>
                </c:pt>
                <c:pt idx="37">
                  <c:v>3368.8457604905034</c:v>
                </c:pt>
                <c:pt idx="38">
                  <c:v>3121.1951412032599</c:v>
                </c:pt>
                <c:pt idx="39">
                  <c:v>2863.2257461123813</c:v>
                </c:pt>
                <c:pt idx="40">
                  <c:v>2594.5076262260495</c:v>
                </c:pt>
                <c:pt idx="41">
                  <c:v>2314.5929180111207</c:v>
                </c:pt>
                <c:pt idx="42">
                  <c:v>2023.0150969539031</c:v>
                </c:pt>
                <c:pt idx="43">
                  <c:v>1719.2882000193015</c:v>
                </c:pt>
                <c:pt idx="44">
                  <c:v>1402.9060157124247</c:v>
                </c:pt>
                <c:pt idx="45">
                  <c:v>1073.3412403927614</c:v>
                </c:pt>
                <c:pt idx="46">
                  <c:v>730.04459943477877</c:v>
                </c:pt>
                <c:pt idx="47">
                  <c:v>372.44393177021362</c:v>
                </c:pt>
                <c:pt idx="48">
                  <c:v>-5.6763713708427588E-2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5-403A-9D29-3F478640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852280"/>
        <c:axId val="592850360"/>
      </c:lineChart>
      <c:catAx>
        <c:axId val="5928522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850360"/>
        <c:crosses val="autoZero"/>
        <c:auto val="1"/>
        <c:lblAlgn val="ctr"/>
        <c:lblOffset val="100"/>
        <c:noMultiLvlLbl val="0"/>
      </c:catAx>
      <c:valAx>
        <c:axId val="592850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852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45720</xdr:colOff>
      <xdr:row>25</xdr:row>
      <xdr:rowOff>30480</xdr:rowOff>
    </xdr:from>
    <xdr:to>
      <xdr:col>19</xdr:col>
      <xdr:colOff>350520</xdr:colOff>
      <xdr:row>40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7A4740-6815-4261-8BC7-0F5F7C3E5A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F1E9-ABF3-427F-B120-E749A78D8694}">
  <dimension ref="A1:E16"/>
  <sheetViews>
    <sheetView workbookViewId="0">
      <selection activeCell="A17" sqref="A17"/>
    </sheetView>
  </sheetViews>
  <sheetFormatPr defaultRowHeight="14.4" x14ac:dyDescent="0.3"/>
  <cols>
    <col min="1" max="1" width="10.6640625" bestFit="1" customWidth="1"/>
    <col min="2" max="2" width="12" bestFit="1" customWidth="1"/>
    <col min="3" max="3" width="10.5546875" bestFit="1" customWidth="1"/>
    <col min="6" max="6" width="11.109375" bestFit="1" customWidth="1"/>
  </cols>
  <sheetData>
    <row r="1" spans="1:5" x14ac:dyDescent="0.3">
      <c r="A1" s="3" t="s">
        <v>14</v>
      </c>
    </row>
    <row r="3" spans="1:5" x14ac:dyDescent="0.3">
      <c r="A3" t="s">
        <v>4</v>
      </c>
      <c r="B3" s="1">
        <v>5.8200000000000002E-2</v>
      </c>
    </row>
    <row r="6" spans="1:5" x14ac:dyDescent="0.3">
      <c r="A6" s="3" t="s">
        <v>9</v>
      </c>
    </row>
    <row r="7" spans="1:5" x14ac:dyDescent="0.3">
      <c r="A7" s="18" t="s">
        <v>43</v>
      </c>
      <c r="B7" t="s">
        <v>44</v>
      </c>
      <c r="C7" t="s">
        <v>45</v>
      </c>
      <c r="D7" t="s">
        <v>2</v>
      </c>
      <c r="E7" t="s">
        <v>46</v>
      </c>
    </row>
    <row r="8" spans="1:5" x14ac:dyDescent="0.3">
      <c r="A8" s="5" t="s">
        <v>10</v>
      </c>
      <c r="B8" s="5" t="s">
        <v>11</v>
      </c>
      <c r="C8" s="5" t="s">
        <v>6</v>
      </c>
      <c r="D8" s="5" t="s">
        <v>7</v>
      </c>
      <c r="E8" s="5" t="s">
        <v>8</v>
      </c>
    </row>
    <row r="9" spans="1:5" x14ac:dyDescent="0.3">
      <c r="A9">
        <v>10</v>
      </c>
      <c r="B9" s="10">
        <f>APR/12</f>
        <v>4.8500000000000001E-3</v>
      </c>
      <c r="C9">
        <v>10000</v>
      </c>
      <c r="E9">
        <v>0</v>
      </c>
    </row>
    <row r="10" spans="1:5" x14ac:dyDescent="0.3">
      <c r="D10" s="7">
        <f>PMT(B9,A9,C9,E9)</f>
        <v>-1026.868583916015</v>
      </c>
    </row>
    <row r="12" spans="1:5" x14ac:dyDescent="0.3">
      <c r="A12" s="8" t="s">
        <v>12</v>
      </c>
      <c r="B12" s="11"/>
      <c r="C12" s="11"/>
      <c r="D12" s="11"/>
      <c r="E12" s="11"/>
    </row>
    <row r="13" spans="1:5" x14ac:dyDescent="0.3">
      <c r="A13">
        <f>NPER(B9,D10,C9,E9)</f>
        <v>9.9999999999999769</v>
      </c>
    </row>
    <row r="14" spans="1:5" x14ac:dyDescent="0.3">
      <c r="B14" s="1">
        <f>RATE(A9,D10,C9,E9)</f>
        <v>4.8500000000500781E-3</v>
      </c>
    </row>
    <row r="15" spans="1:5" x14ac:dyDescent="0.3">
      <c r="C15" s="6">
        <f>PV(B9,A9,D10,E9)</f>
        <v>10000.000000000062</v>
      </c>
    </row>
    <row r="16" spans="1:5" x14ac:dyDescent="0.3">
      <c r="E16" s="6" t="s">
        <v>78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C5E3-7EC6-45E9-968B-F60F84E4E191}">
  <dimension ref="A1:L19"/>
  <sheetViews>
    <sheetView workbookViewId="0">
      <selection activeCell="F6" sqref="F6"/>
    </sheetView>
  </sheetViews>
  <sheetFormatPr defaultRowHeight="14.4" x14ac:dyDescent="0.3"/>
  <cols>
    <col min="1" max="1" width="15.109375" customWidth="1"/>
    <col min="2" max="2" width="11" bestFit="1" customWidth="1"/>
    <col min="3" max="3" width="10" bestFit="1" customWidth="1"/>
    <col min="4" max="4" width="14.6640625" bestFit="1" customWidth="1"/>
    <col min="10" max="10" width="14.33203125" customWidth="1"/>
    <col min="11" max="11" width="8.5546875" bestFit="1" customWidth="1"/>
    <col min="12" max="12" width="11.88671875" bestFit="1" customWidth="1"/>
  </cols>
  <sheetData>
    <row r="1" spans="1:12" x14ac:dyDescent="0.3">
      <c r="A1" s="3" t="s">
        <v>25</v>
      </c>
    </row>
    <row r="2" spans="1:12" x14ac:dyDescent="0.3">
      <c r="J2" t="s">
        <v>53</v>
      </c>
    </row>
    <row r="3" spans="1:12" x14ac:dyDescent="0.3">
      <c r="A3" t="s">
        <v>5</v>
      </c>
      <c r="B3" s="9">
        <v>1026.8685839160216</v>
      </c>
      <c r="C3" t="s">
        <v>26</v>
      </c>
      <c r="J3" t="s">
        <v>54</v>
      </c>
    </row>
    <row r="4" spans="1:12" x14ac:dyDescent="0.3">
      <c r="B4" s="9"/>
      <c r="J4" t="s">
        <v>52</v>
      </c>
      <c r="K4" s="14">
        <f>B6/A16</f>
        <v>1000</v>
      </c>
    </row>
    <row r="5" spans="1:12" x14ac:dyDescent="0.3">
      <c r="A5" s="5" t="s">
        <v>0</v>
      </c>
      <c r="B5" s="5" t="s">
        <v>1</v>
      </c>
      <c r="C5" s="5" t="s">
        <v>2</v>
      </c>
      <c r="D5" s="5" t="s">
        <v>3</v>
      </c>
      <c r="J5" s="20" t="s">
        <v>1</v>
      </c>
      <c r="K5" s="20" t="s">
        <v>2</v>
      </c>
      <c r="L5" s="20" t="s">
        <v>19</v>
      </c>
    </row>
    <row r="6" spans="1:12" x14ac:dyDescent="0.3">
      <c r="A6" s="4">
        <v>0</v>
      </c>
      <c r="B6" s="2">
        <v>10000</v>
      </c>
      <c r="C6" s="2"/>
      <c r="D6" s="2"/>
      <c r="J6" s="14">
        <f>B6</f>
        <v>10000</v>
      </c>
    </row>
    <row r="7" spans="1:12" x14ac:dyDescent="0.3">
      <c r="A7" s="4">
        <v>1</v>
      </c>
      <c r="B7" s="2">
        <f>B6-C7+D7</f>
        <v>9021.6314160839793</v>
      </c>
      <c r="C7" s="2">
        <f>Monthly_Payment</f>
        <v>1026.8685839160216</v>
      </c>
      <c r="D7" s="2">
        <f>B6*APR/12</f>
        <v>48.5</v>
      </c>
      <c r="J7" s="2">
        <f>J6-K7+L7</f>
        <v>9000</v>
      </c>
      <c r="K7" s="14">
        <f t="shared" ref="K7:K16" si="0">$K$4+L7</f>
        <v>1048.5</v>
      </c>
      <c r="L7" s="21">
        <f t="shared" ref="L7:L16" si="1">J6*APR/12</f>
        <v>48.5</v>
      </c>
    </row>
    <row r="8" spans="1:12" x14ac:dyDescent="0.3">
      <c r="A8" s="4">
        <v>2</v>
      </c>
      <c r="B8" s="2">
        <f t="shared" ref="B8:B16" si="2">B7-C8+D8</f>
        <v>8038.517744535965</v>
      </c>
      <c r="C8" s="2">
        <f t="shared" ref="C8:C16" si="3">Monthly_Payment</f>
        <v>1026.8685839160216</v>
      </c>
      <c r="D8" s="2">
        <f t="shared" ref="D8:D16" si="4">B7*APR/12</f>
        <v>43.754912368007297</v>
      </c>
      <c r="J8" s="2">
        <f t="shared" ref="J8:J16" si="5">J7-K8+L8</f>
        <v>8000</v>
      </c>
      <c r="K8" s="14">
        <f t="shared" si="0"/>
        <v>1043.6500000000001</v>
      </c>
      <c r="L8" s="21">
        <f t="shared" si="1"/>
        <v>43.650000000000006</v>
      </c>
    </row>
    <row r="9" spans="1:12" x14ac:dyDescent="0.3">
      <c r="A9" s="4">
        <v>3</v>
      </c>
      <c r="B9" s="2">
        <f t="shared" si="2"/>
        <v>7050.6359716809429</v>
      </c>
      <c r="C9" s="2">
        <f t="shared" si="3"/>
        <v>1026.8685839160216</v>
      </c>
      <c r="D9" s="2">
        <f t="shared" si="4"/>
        <v>38.986811060999436</v>
      </c>
      <c r="J9" s="2">
        <f t="shared" si="5"/>
        <v>7000</v>
      </c>
      <c r="K9" s="14">
        <f t="shared" si="0"/>
        <v>1038.8</v>
      </c>
      <c r="L9" s="21">
        <f t="shared" si="1"/>
        <v>38.800000000000004</v>
      </c>
    </row>
    <row r="10" spans="1:12" x14ac:dyDescent="0.3">
      <c r="A10" s="4">
        <v>4</v>
      </c>
      <c r="B10" s="2">
        <f t="shared" si="2"/>
        <v>6057.962972227574</v>
      </c>
      <c r="C10" s="2">
        <f t="shared" si="3"/>
        <v>1026.8685839160216</v>
      </c>
      <c r="D10" s="2">
        <f t="shared" si="4"/>
        <v>34.195584462652576</v>
      </c>
      <c r="J10" s="2">
        <f t="shared" si="5"/>
        <v>6000</v>
      </c>
      <c r="K10" s="14">
        <f t="shared" si="0"/>
        <v>1033.95</v>
      </c>
      <c r="L10" s="21">
        <f t="shared" si="1"/>
        <v>33.950000000000003</v>
      </c>
    </row>
    <row r="11" spans="1:12" x14ac:dyDescent="0.3">
      <c r="A11" s="4">
        <v>5</v>
      </c>
      <c r="B11" s="2">
        <f t="shared" si="2"/>
        <v>5060.4755087268559</v>
      </c>
      <c r="C11" s="2">
        <f t="shared" si="3"/>
        <v>1026.8685839160216</v>
      </c>
      <c r="D11" s="2">
        <f t="shared" si="4"/>
        <v>29.381120415303737</v>
      </c>
      <c r="J11" s="2">
        <f t="shared" si="5"/>
        <v>5000</v>
      </c>
      <c r="K11" s="14">
        <f t="shared" si="0"/>
        <v>1029.0999999999999</v>
      </c>
      <c r="L11" s="21">
        <f t="shared" si="1"/>
        <v>29.099999999999998</v>
      </c>
    </row>
    <row r="12" spans="1:12" x14ac:dyDescent="0.3">
      <c r="A12" s="4">
        <v>6</v>
      </c>
      <c r="B12" s="2">
        <f t="shared" si="2"/>
        <v>4058.1502310281594</v>
      </c>
      <c r="C12" s="2">
        <f t="shared" si="3"/>
        <v>1026.8685839160216</v>
      </c>
      <c r="D12" s="2">
        <f t="shared" si="4"/>
        <v>24.543306217325252</v>
      </c>
      <c r="J12" s="2">
        <f t="shared" si="5"/>
        <v>4000</v>
      </c>
      <c r="K12" s="14">
        <f t="shared" si="0"/>
        <v>1024.25</v>
      </c>
      <c r="L12" s="21">
        <f t="shared" si="1"/>
        <v>24.25</v>
      </c>
    </row>
    <row r="13" spans="1:12" x14ac:dyDescent="0.3">
      <c r="A13" s="4">
        <v>7</v>
      </c>
      <c r="B13" s="2">
        <f t="shared" si="2"/>
        <v>3050.9636757326243</v>
      </c>
      <c r="C13" s="2">
        <f t="shared" si="3"/>
        <v>1026.8685839160216</v>
      </c>
      <c r="D13" s="2">
        <f t="shared" si="4"/>
        <v>19.682028620486573</v>
      </c>
      <c r="J13" s="2">
        <f t="shared" si="5"/>
        <v>3000</v>
      </c>
      <c r="K13" s="14">
        <f t="shared" si="0"/>
        <v>1019.4</v>
      </c>
      <c r="L13" s="21">
        <f t="shared" si="1"/>
        <v>19.400000000000002</v>
      </c>
    </row>
    <row r="14" spans="1:12" x14ac:dyDescent="0.3">
      <c r="A14" s="4">
        <v>8</v>
      </c>
      <c r="B14" s="2">
        <f t="shared" si="2"/>
        <v>2038.8922656439058</v>
      </c>
      <c r="C14" s="2">
        <f t="shared" si="3"/>
        <v>1026.8685839160216</v>
      </c>
      <c r="D14" s="2">
        <f t="shared" si="4"/>
        <v>14.797173827303228</v>
      </c>
      <c r="J14" s="2">
        <f t="shared" si="5"/>
        <v>2000</v>
      </c>
      <c r="K14" s="14">
        <f t="shared" si="0"/>
        <v>1014.55</v>
      </c>
      <c r="L14" s="21">
        <f t="shared" si="1"/>
        <v>14.549999999999999</v>
      </c>
    </row>
    <row r="15" spans="1:12" x14ac:dyDescent="0.3">
      <c r="A15" s="4">
        <v>9</v>
      </c>
      <c r="B15" s="2">
        <f t="shared" si="2"/>
        <v>1021.9123092162571</v>
      </c>
      <c r="C15" s="2">
        <f t="shared" si="3"/>
        <v>1026.8685839160216</v>
      </c>
      <c r="D15" s="2">
        <f t="shared" si="4"/>
        <v>9.8886274883729435</v>
      </c>
      <c r="J15" s="2">
        <f t="shared" si="5"/>
        <v>1000</v>
      </c>
      <c r="K15" s="14">
        <f t="shared" si="0"/>
        <v>1009.7</v>
      </c>
      <c r="L15" s="21">
        <f t="shared" si="1"/>
        <v>9.7000000000000011</v>
      </c>
    </row>
    <row r="16" spans="1:12" x14ac:dyDescent="0.3">
      <c r="A16" s="4">
        <v>10</v>
      </c>
      <c r="B16" s="2">
        <f t="shared" si="2"/>
        <v>-6.5702110418897064E-11</v>
      </c>
      <c r="C16" s="2">
        <f t="shared" si="3"/>
        <v>1026.8685839160216</v>
      </c>
      <c r="D16" s="2">
        <f t="shared" si="4"/>
        <v>4.9562746996988469</v>
      </c>
      <c r="J16" s="2">
        <f t="shared" si="5"/>
        <v>-2.2204460492503131E-14</v>
      </c>
      <c r="K16" s="14">
        <f t="shared" si="0"/>
        <v>1004.85</v>
      </c>
      <c r="L16" s="21">
        <f t="shared" si="1"/>
        <v>4.8500000000000005</v>
      </c>
    </row>
    <row r="17" spans="1:4" x14ac:dyDescent="0.3">
      <c r="A17" s="4"/>
      <c r="B17" s="2" t="s">
        <v>27</v>
      </c>
      <c r="C17" s="2"/>
      <c r="D17" s="2"/>
    </row>
    <row r="19" spans="1:4" x14ac:dyDescent="0.3">
      <c r="A19" s="3" t="s">
        <v>13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A6A4-CBAD-4143-BB65-529710B4A017}">
  <dimension ref="A1:O16"/>
  <sheetViews>
    <sheetView workbookViewId="0">
      <selection activeCell="B20" sqref="B20"/>
    </sheetView>
  </sheetViews>
  <sheetFormatPr defaultRowHeight="14.4" x14ac:dyDescent="0.3"/>
  <sheetData>
    <row r="1" spans="1:15" x14ac:dyDescent="0.3">
      <c r="A1" t="s">
        <v>55</v>
      </c>
    </row>
    <row r="3" spans="1:15" x14ac:dyDescent="0.3">
      <c r="A3" t="s">
        <v>56</v>
      </c>
      <c r="K3" t="s">
        <v>71</v>
      </c>
      <c r="L3" s="12">
        <v>0.20556942958033514</v>
      </c>
      <c r="M3" t="s">
        <v>73</v>
      </c>
    </row>
    <row r="5" spans="1:15" x14ac:dyDescent="0.3">
      <c r="A5" t="s">
        <v>62</v>
      </c>
      <c r="L5">
        <v>-100</v>
      </c>
      <c r="M5">
        <v>-100</v>
      </c>
      <c r="N5">
        <v>100</v>
      </c>
      <c r="O5">
        <v>200</v>
      </c>
    </row>
    <row r="6" spans="1:15" x14ac:dyDescent="0.3">
      <c r="A6" t="s">
        <v>75</v>
      </c>
      <c r="K6" s="19" t="s">
        <v>72</v>
      </c>
      <c r="L6" s="19">
        <f>1</f>
        <v>1</v>
      </c>
      <c r="M6" s="19">
        <f>L6/(1+$L$3)</f>
        <v>0.82948354152286774</v>
      </c>
      <c r="N6" s="19">
        <f t="shared" ref="N6:O6" si="0">M6/(1+$L$3)</f>
        <v>0.68804294565731905</v>
      </c>
      <c r="O6" s="19">
        <f t="shared" si="0"/>
        <v>0.57072029928365908</v>
      </c>
    </row>
    <row r="7" spans="1:15" x14ac:dyDescent="0.3">
      <c r="A7" s="24" t="s">
        <v>74</v>
      </c>
      <c r="B7" s="24"/>
      <c r="C7" s="24"/>
      <c r="D7" s="24"/>
      <c r="E7" s="24"/>
      <c r="F7" s="24"/>
      <c r="G7" s="24"/>
      <c r="H7" s="24"/>
      <c r="I7" s="24"/>
      <c r="K7" s="19" t="s">
        <v>6</v>
      </c>
      <c r="L7">
        <f>L5*L6</f>
        <v>-100</v>
      </c>
      <c r="M7">
        <f t="shared" ref="M7:O7" si="1">M5*M6</f>
        <v>-82.948354152286768</v>
      </c>
      <c r="N7">
        <f t="shared" si="1"/>
        <v>68.804294565731908</v>
      </c>
      <c r="O7">
        <f t="shared" si="1"/>
        <v>114.14405985673181</v>
      </c>
    </row>
    <row r="8" spans="1:15" s="19" customFormat="1" x14ac:dyDescent="0.3">
      <c r="K8" s="19" t="s">
        <v>28</v>
      </c>
      <c r="L8">
        <f>SUM(L7:O7)</f>
        <v>2.7017696879738651E-7</v>
      </c>
      <c r="M8"/>
      <c r="N8"/>
      <c r="O8"/>
    </row>
    <row r="9" spans="1:15" x14ac:dyDescent="0.3">
      <c r="A9" s="19" t="s">
        <v>63</v>
      </c>
    </row>
    <row r="10" spans="1:15" x14ac:dyDescent="0.3">
      <c r="A10" s="24" t="s">
        <v>57</v>
      </c>
      <c r="B10" s="24"/>
      <c r="C10" s="24"/>
      <c r="D10" s="24"/>
      <c r="E10" s="24"/>
      <c r="F10" s="24"/>
      <c r="G10" s="24"/>
      <c r="H10" s="24"/>
      <c r="I10" s="24"/>
      <c r="L10" s="12">
        <f>IRR(L5:O5)</f>
        <v>0.20556943040054354</v>
      </c>
    </row>
    <row r="12" spans="1:15" x14ac:dyDescent="0.3">
      <c r="A12" t="s">
        <v>58</v>
      </c>
    </row>
    <row r="13" spans="1:15" x14ac:dyDescent="0.3">
      <c r="A13" s="24" t="s">
        <v>59</v>
      </c>
      <c r="B13" s="24"/>
      <c r="C13" s="24"/>
      <c r="D13" s="24"/>
      <c r="E13" s="24"/>
      <c r="F13" s="24"/>
      <c r="G13" s="24"/>
      <c r="H13" s="24"/>
      <c r="I13" s="24"/>
    </row>
    <row r="15" spans="1:15" x14ac:dyDescent="0.3">
      <c r="A15" t="s">
        <v>60</v>
      </c>
    </row>
    <row r="16" spans="1:15" x14ac:dyDescent="0.3">
      <c r="A16" s="24" t="s">
        <v>61</v>
      </c>
      <c r="B16" s="24"/>
      <c r="C16" s="24"/>
      <c r="D16" s="24"/>
      <c r="E16" s="24"/>
      <c r="F16" s="24"/>
      <c r="G16" s="24"/>
      <c r="H16" s="24"/>
      <c r="I16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BD00-A847-44D2-B215-B5A24D9EAF99}">
  <dimension ref="A1:G30"/>
  <sheetViews>
    <sheetView tabSelected="1" topLeftCell="A2" zoomScale="280" zoomScaleNormal="280" workbookViewId="0">
      <selection activeCell="B8" sqref="B8"/>
    </sheetView>
  </sheetViews>
  <sheetFormatPr defaultRowHeight="14.4" x14ac:dyDescent="0.3"/>
  <cols>
    <col min="1" max="1" width="21" bestFit="1" customWidth="1"/>
    <col min="3" max="3" width="13.21875" bestFit="1" customWidth="1"/>
    <col min="4" max="4" width="9.77734375" bestFit="1" customWidth="1"/>
    <col min="5" max="5" width="13.88671875" bestFit="1" customWidth="1"/>
    <col min="7" max="7" width="10.109375" bestFit="1" customWidth="1"/>
  </cols>
  <sheetData>
    <row r="1" spans="1:7" x14ac:dyDescent="0.3">
      <c r="A1" t="s">
        <v>67</v>
      </c>
    </row>
    <row r="2" spans="1:7" x14ac:dyDescent="0.3">
      <c r="A2" t="s">
        <v>64</v>
      </c>
    </row>
    <row r="3" spans="1:7" x14ac:dyDescent="0.3">
      <c r="A3" t="s">
        <v>76</v>
      </c>
    </row>
    <row r="4" spans="1:7" x14ac:dyDescent="0.3">
      <c r="A4" t="s">
        <v>43</v>
      </c>
      <c r="B4" t="s">
        <v>44</v>
      </c>
      <c r="C4" t="s">
        <v>45</v>
      </c>
      <c r="D4" t="s">
        <v>2</v>
      </c>
      <c r="E4" t="s">
        <v>46</v>
      </c>
    </row>
    <row r="5" spans="1:7" x14ac:dyDescent="0.3">
      <c r="A5" s="5" t="s">
        <v>10</v>
      </c>
      <c r="B5" s="5" t="s">
        <v>11</v>
      </c>
      <c r="C5" s="5" t="s">
        <v>6</v>
      </c>
      <c r="D5" s="5" t="s">
        <v>7</v>
      </c>
      <c r="E5" s="5" t="s">
        <v>8</v>
      </c>
    </row>
    <row r="6" spans="1:7" x14ac:dyDescent="0.3">
      <c r="A6" s="26">
        <f>30*12</f>
        <v>360</v>
      </c>
      <c r="B6" s="10">
        <f>6.69%/12</f>
        <v>5.5750000000000001E-3</v>
      </c>
      <c r="C6">
        <v>1250000</v>
      </c>
      <c r="E6">
        <v>0</v>
      </c>
    </row>
    <row r="7" spans="1:7" x14ac:dyDescent="0.3">
      <c r="A7" s="23"/>
      <c r="D7" s="7">
        <f>PMT(B6,A6,C6,E6)</f>
        <v>-8057.6849322016524</v>
      </c>
      <c r="F7" t="s">
        <v>65</v>
      </c>
      <c r="G7" s="6"/>
    </row>
    <row r="8" spans="1:7" x14ac:dyDescent="0.3">
      <c r="A8" s="16"/>
    </row>
    <row r="9" spans="1:7" x14ac:dyDescent="0.3">
      <c r="A9" t="s">
        <v>66</v>
      </c>
    </row>
    <row r="10" spans="1:7" x14ac:dyDescent="0.3">
      <c r="A10" s="5" t="s">
        <v>10</v>
      </c>
      <c r="B10" s="5" t="s">
        <v>11</v>
      </c>
      <c r="C10" s="5" t="s">
        <v>6</v>
      </c>
      <c r="D10" s="5" t="s">
        <v>7</v>
      </c>
      <c r="E10" s="5" t="s">
        <v>8</v>
      </c>
    </row>
    <row r="11" spans="1:7" x14ac:dyDescent="0.3">
      <c r="A11">
        <f>A6-5*12-3</f>
        <v>297</v>
      </c>
      <c r="B11" s="10">
        <f>6.69%/12</f>
        <v>5.5750000000000001E-3</v>
      </c>
      <c r="D11" s="7">
        <f>D7</f>
        <v>-8057.6849322016524</v>
      </c>
      <c r="E11">
        <v>0</v>
      </c>
      <c r="F11" t="s">
        <v>77</v>
      </c>
    </row>
    <row r="12" spans="1:7" x14ac:dyDescent="0.3">
      <c r="C12" s="7">
        <f>PV(B11,A11,D11,E11)</f>
        <v>1168076.5890829328</v>
      </c>
      <c r="D12" s="7"/>
      <c r="E12" s="6"/>
      <c r="F12" t="s">
        <v>65</v>
      </c>
      <c r="G12" t="s">
        <v>78</v>
      </c>
    </row>
    <row r="13" spans="1:7" x14ac:dyDescent="0.3">
      <c r="E13" s="6"/>
    </row>
    <row r="14" spans="1:7" x14ac:dyDescent="0.3">
      <c r="A14" t="s">
        <v>86</v>
      </c>
      <c r="E14" s="6"/>
    </row>
    <row r="15" spans="1:7" x14ac:dyDescent="0.3">
      <c r="A15" t="s">
        <v>87</v>
      </c>
    </row>
    <row r="16" spans="1:7" x14ac:dyDescent="0.3">
      <c r="A16" t="s">
        <v>88</v>
      </c>
    </row>
    <row r="17" spans="1:6" x14ac:dyDescent="0.3">
      <c r="A17" s="5" t="s">
        <v>10</v>
      </c>
      <c r="B17" s="5" t="s">
        <v>11</v>
      </c>
      <c r="C17" s="5" t="s">
        <v>6</v>
      </c>
      <c r="D17" s="5" t="s">
        <v>7</v>
      </c>
      <c r="E17" s="5" t="s">
        <v>8</v>
      </c>
    </row>
    <row r="18" spans="1:6" x14ac:dyDescent="0.3">
      <c r="A18">
        <f>A11</f>
        <v>297</v>
      </c>
      <c r="B18" s="10">
        <f>4.2%/12</f>
        <v>3.5000000000000001E-3</v>
      </c>
      <c r="C18" s="6">
        <f>C12</f>
        <v>1168076.5890829328</v>
      </c>
      <c r="D18" s="7"/>
      <c r="E18">
        <v>0</v>
      </c>
    </row>
    <row r="19" spans="1:6" x14ac:dyDescent="0.3">
      <c r="D19" s="7">
        <f>PMT(B18,A18,C18,E18)</f>
        <v>-6331.2721528658376</v>
      </c>
      <c r="E19" s="6"/>
      <c r="F19" t="s">
        <v>65</v>
      </c>
    </row>
    <row r="21" spans="1:6" x14ac:dyDescent="0.3">
      <c r="A21" t="s">
        <v>89</v>
      </c>
    </row>
    <row r="22" spans="1:6" x14ac:dyDescent="0.3">
      <c r="A22" t="s">
        <v>90</v>
      </c>
    </row>
    <row r="24" spans="1:6" x14ac:dyDescent="0.3">
      <c r="A24" s="5" t="s">
        <v>10</v>
      </c>
      <c r="B24" s="5" t="s">
        <v>11</v>
      </c>
      <c r="C24" s="5" t="s">
        <v>6</v>
      </c>
      <c r="D24" s="5" t="s">
        <v>7</v>
      </c>
      <c r="E24" s="5" t="s">
        <v>8</v>
      </c>
    </row>
    <row r="25" spans="1:6" x14ac:dyDescent="0.3">
      <c r="B25" s="10">
        <f>4.2%/12</f>
        <v>3.5000000000000001E-3</v>
      </c>
      <c r="C25" s="6">
        <f>C18</f>
        <v>1168076.5890829328</v>
      </c>
      <c r="D25" s="7">
        <f>D11</f>
        <v>-8057.6849322016524</v>
      </c>
      <c r="E25">
        <v>0</v>
      </c>
    </row>
    <row r="26" spans="1:6" x14ac:dyDescent="0.3">
      <c r="A26" s="23">
        <f>NPER(B25,D25,C25,E25)</f>
        <v>202.64153629348741</v>
      </c>
      <c r="D26" s="7"/>
      <c r="E26" s="6"/>
      <c r="F26" t="s">
        <v>65</v>
      </c>
    </row>
    <row r="28" spans="1:6" x14ac:dyDescent="0.3">
      <c r="A28" s="23">
        <f>A26</f>
        <v>202.64153629348741</v>
      </c>
      <c r="B28" t="s">
        <v>68</v>
      </c>
    </row>
    <row r="29" spans="1:6" x14ac:dyDescent="0.3">
      <c r="A29">
        <f>FLOOR(A28/12, 1)</f>
        <v>16</v>
      </c>
      <c r="B29" t="s">
        <v>69</v>
      </c>
    </row>
    <row r="30" spans="1:6" x14ac:dyDescent="0.3">
      <c r="A30" s="22">
        <f>A28-A29*12</f>
        <v>10.641536293487405</v>
      </c>
      <c r="B30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ED1A-A8F1-41E9-9E6E-0A21A7609F57}">
  <dimension ref="A3:A14"/>
  <sheetViews>
    <sheetView workbookViewId="0">
      <selection activeCell="D24" sqref="D24"/>
    </sheetView>
  </sheetViews>
  <sheetFormatPr defaultRowHeight="14.4" x14ac:dyDescent="0.3"/>
  <cols>
    <col min="1" max="1" width="17.21875" bestFit="1" customWidth="1"/>
    <col min="4" max="4" width="12.109375" bestFit="1" customWidth="1"/>
  </cols>
  <sheetData>
    <row r="3" spans="1:1" x14ac:dyDescent="0.3">
      <c r="A3" t="s">
        <v>80</v>
      </c>
    </row>
    <row r="4" spans="1:1" x14ac:dyDescent="0.3">
      <c r="A4" t="s">
        <v>79</v>
      </c>
    </row>
    <row r="5" spans="1:1" x14ac:dyDescent="0.3">
      <c r="A5" t="s">
        <v>81</v>
      </c>
    </row>
    <row r="8" spans="1:1" x14ac:dyDescent="0.3">
      <c r="A8" s="25">
        <f>100*(1.00002)^1000000</f>
        <v>48506817334.700363</v>
      </c>
    </row>
    <row r="9" spans="1:1" x14ac:dyDescent="0.3">
      <c r="A9" t="s">
        <v>82</v>
      </c>
    </row>
    <row r="10" spans="1:1" x14ac:dyDescent="0.3">
      <c r="A10" s="25">
        <f>100*(1)^1000000</f>
        <v>100</v>
      </c>
    </row>
    <row r="12" spans="1:1" x14ac:dyDescent="0.3">
      <c r="A12" t="s">
        <v>83</v>
      </c>
    </row>
    <row r="13" spans="1:1" x14ac:dyDescent="0.3">
      <c r="A13" t="s">
        <v>84</v>
      </c>
    </row>
    <row r="14" spans="1:1" x14ac:dyDescent="0.3">
      <c r="A14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C043B-97E4-4A7F-BE05-83D546773AB5}">
  <dimension ref="A1:M67"/>
  <sheetViews>
    <sheetView workbookViewId="0">
      <selection activeCell="A4" sqref="A4"/>
    </sheetView>
  </sheetViews>
  <sheetFormatPr defaultRowHeight="14.4" outlineLevelCol="1" x14ac:dyDescent="0.3"/>
  <cols>
    <col min="2" max="2" width="13.88671875" bestFit="1" customWidth="1"/>
    <col min="3" max="3" width="13.21875" bestFit="1" customWidth="1"/>
    <col min="4" max="4" width="23" bestFit="1" customWidth="1"/>
    <col min="5" max="5" width="20.5546875" bestFit="1" customWidth="1"/>
    <col min="6" max="6" width="12" bestFit="1" customWidth="1"/>
    <col min="8" max="8" width="10.109375" bestFit="1" customWidth="1"/>
    <col min="9" max="9" width="13.6640625" bestFit="1" customWidth="1"/>
    <col min="11" max="11" width="11.109375" customWidth="1" outlineLevel="1"/>
  </cols>
  <sheetData>
    <row r="1" spans="1:11" x14ac:dyDescent="0.3">
      <c r="C1" t="s">
        <v>15</v>
      </c>
      <c r="D1" t="s">
        <v>21</v>
      </c>
      <c r="H1" t="s">
        <v>16</v>
      </c>
      <c r="K1" s="3" t="s">
        <v>31</v>
      </c>
    </row>
    <row r="2" spans="1:11" x14ac:dyDescent="0.3">
      <c r="C2" t="s">
        <v>22</v>
      </c>
      <c r="D2">
        <v>388.01919264101429</v>
      </c>
    </row>
    <row r="3" spans="1:11" x14ac:dyDescent="0.3">
      <c r="C3" t="s">
        <v>18</v>
      </c>
      <c r="D3" s="1">
        <v>0.5</v>
      </c>
      <c r="H3" t="s">
        <v>17</v>
      </c>
      <c r="I3" s="12">
        <v>0.08</v>
      </c>
    </row>
    <row r="4" spans="1:11" x14ac:dyDescent="0.3">
      <c r="A4" t="s">
        <v>20</v>
      </c>
      <c r="B4" t="s">
        <v>23</v>
      </c>
      <c r="C4" t="s">
        <v>1</v>
      </c>
      <c r="D4" t="s">
        <v>48</v>
      </c>
      <c r="E4" t="s">
        <v>19</v>
      </c>
      <c r="G4" t="s">
        <v>20</v>
      </c>
      <c r="H4" t="s">
        <v>1</v>
      </c>
      <c r="I4" t="s">
        <v>19</v>
      </c>
      <c r="J4" t="s">
        <v>47</v>
      </c>
      <c r="K4" t="s">
        <v>24</v>
      </c>
    </row>
    <row r="5" spans="1:11" x14ac:dyDescent="0.3">
      <c r="A5">
        <v>0</v>
      </c>
      <c r="B5">
        <v>1</v>
      </c>
      <c r="C5">
        <v>8000</v>
      </c>
      <c r="G5">
        <v>0</v>
      </c>
      <c r="H5">
        <v>8000</v>
      </c>
    </row>
    <row r="6" spans="1:11" x14ac:dyDescent="0.3">
      <c r="A6">
        <v>1</v>
      </c>
      <c r="B6" s="16">
        <f>B5/(1+Loan_rate/12)</f>
        <v>0.96</v>
      </c>
      <c r="C6" s="2">
        <f>C5-D6+E6</f>
        <v>7945.3141406923187</v>
      </c>
      <c r="D6" s="2">
        <f t="shared" ref="D6:D53" si="0">Loan_payment</f>
        <v>388.01919264101429</v>
      </c>
      <c r="E6" s="2">
        <f>C5*Loan_rate/12</f>
        <v>333.33333333333331</v>
      </c>
      <c r="H6" s="2">
        <f>H5+I6</f>
        <v>8053.333333333333</v>
      </c>
      <c r="I6" s="2">
        <f t="shared" ref="I6:I53" si="1">H5*CD_rate/12</f>
        <v>53.333333333333336</v>
      </c>
      <c r="K6" s="13">
        <f>(J6-D6)*B6</f>
        <v>-372.49842493537369</v>
      </c>
    </row>
    <row r="7" spans="1:11" x14ac:dyDescent="0.3">
      <c r="A7">
        <v>2</v>
      </c>
      <c r="B7" s="16">
        <f t="shared" ref="B7:B53" si="2">B6/(1+Loan_rate/12)</f>
        <v>0.92159999999999986</v>
      </c>
      <c r="C7" s="2">
        <f t="shared" ref="C7:C53" si="3">C6-D7+E7</f>
        <v>7888.3497039134845</v>
      </c>
      <c r="D7" s="2">
        <f t="shared" si="0"/>
        <v>388.01919264101429</v>
      </c>
      <c r="E7" s="2">
        <f t="shared" ref="E7:E53" si="4">C6*Loan_rate/12</f>
        <v>331.05475586217995</v>
      </c>
      <c r="H7" s="2">
        <f t="shared" ref="H7:H53" si="5">H6+I7</f>
        <v>8107.0222222222219</v>
      </c>
      <c r="I7" s="2">
        <f t="shared" si="1"/>
        <v>53.68888888888889</v>
      </c>
      <c r="K7" s="13">
        <f t="shared" ref="K7:K52" si="6">(J7-D7)*B7</f>
        <v>-357.59848793795874</v>
      </c>
    </row>
    <row r="8" spans="1:11" x14ac:dyDescent="0.3">
      <c r="A8">
        <v>3</v>
      </c>
      <c r="B8" s="16">
        <f t="shared" si="2"/>
        <v>0.88473599999999986</v>
      </c>
      <c r="C8" s="2">
        <f t="shared" si="3"/>
        <v>7829.0117489355316</v>
      </c>
      <c r="D8" s="2">
        <f t="shared" si="0"/>
        <v>388.01919264101429</v>
      </c>
      <c r="E8" s="2">
        <f t="shared" si="4"/>
        <v>328.68123766306184</v>
      </c>
      <c r="H8" s="2">
        <f>H7+I8</f>
        <v>8161.0690370370367</v>
      </c>
      <c r="I8" s="2">
        <f t="shared" si="1"/>
        <v>54.046814814814816</v>
      </c>
      <c r="K8" s="13">
        <f t="shared" si="6"/>
        <v>-343.29454842044038</v>
      </c>
    </row>
    <row r="9" spans="1:11" x14ac:dyDescent="0.3">
      <c r="A9">
        <v>4</v>
      </c>
      <c r="B9" s="16">
        <f t="shared" si="2"/>
        <v>0.84934655999999975</v>
      </c>
      <c r="C9" s="2">
        <f t="shared" si="3"/>
        <v>7767.2013791668314</v>
      </c>
      <c r="D9" s="2">
        <f t="shared" si="0"/>
        <v>388.01919264101429</v>
      </c>
      <c r="E9" s="2">
        <f t="shared" si="4"/>
        <v>326.20882287231382</v>
      </c>
      <c r="H9" s="2">
        <f t="shared" si="5"/>
        <v>8215.4761639506178</v>
      </c>
      <c r="I9" s="2">
        <f t="shared" si="1"/>
        <v>54.407126913580242</v>
      </c>
      <c r="K9" s="13">
        <f t="shared" si="6"/>
        <v>-329.56276648362268</v>
      </c>
    </row>
    <row r="10" spans="1:11" x14ac:dyDescent="0.3">
      <c r="A10">
        <v>5</v>
      </c>
      <c r="B10" s="16">
        <f t="shared" si="2"/>
        <v>0.81537269759999975</v>
      </c>
      <c r="C10" s="2">
        <f t="shared" si="3"/>
        <v>7702.8155773244353</v>
      </c>
      <c r="D10" s="2">
        <f t="shared" si="0"/>
        <v>388.01919264101429</v>
      </c>
      <c r="E10" s="2">
        <f t="shared" si="4"/>
        <v>323.633390798618</v>
      </c>
      <c r="H10" s="2">
        <f t="shared" si="5"/>
        <v>8270.2460050436221</v>
      </c>
      <c r="I10" s="2">
        <f t="shared" si="1"/>
        <v>54.769841093004118</v>
      </c>
      <c r="K10" s="13">
        <f t="shared" si="6"/>
        <v>-316.38025582427781</v>
      </c>
    </row>
    <row r="11" spans="1:11" x14ac:dyDescent="0.3">
      <c r="A11">
        <v>6</v>
      </c>
      <c r="B11" s="16">
        <f t="shared" si="2"/>
        <v>0.78275778969599974</v>
      </c>
      <c r="C11" s="2">
        <f t="shared" si="3"/>
        <v>7635.7470337386058</v>
      </c>
      <c r="D11" s="2">
        <f t="shared" si="0"/>
        <v>388.01919264101429</v>
      </c>
      <c r="E11" s="2">
        <f>C10*Loan_rate/12</f>
        <v>320.95064905518478</v>
      </c>
      <c r="H11" s="2">
        <f t="shared" si="5"/>
        <v>8325.3809784105797</v>
      </c>
      <c r="I11" s="2">
        <f t="shared" si="1"/>
        <v>55.134973366957475</v>
      </c>
      <c r="K11" s="13">
        <f t="shared" si="6"/>
        <v>-303.7250455913067</v>
      </c>
    </row>
    <row r="12" spans="1:11" x14ac:dyDescent="0.3">
      <c r="A12">
        <v>7</v>
      </c>
      <c r="B12" s="16">
        <f t="shared" si="2"/>
        <v>0.75144747810815971</v>
      </c>
      <c r="C12" s="2">
        <f t="shared" si="3"/>
        <v>7565.8839675033669</v>
      </c>
      <c r="D12" s="2">
        <f t="shared" si="0"/>
        <v>388.01919264101429</v>
      </c>
      <c r="E12" s="2">
        <f t="shared" si="4"/>
        <v>318.15612640577524</v>
      </c>
      <c r="H12" s="2">
        <f t="shared" si="5"/>
        <v>8380.8835182666498</v>
      </c>
      <c r="I12" s="2">
        <f t="shared" si="1"/>
        <v>55.502539856070534</v>
      </c>
      <c r="K12" s="13">
        <f t="shared" si="6"/>
        <v>-291.57604376765437</v>
      </c>
    </row>
    <row r="13" spans="1:11" x14ac:dyDescent="0.3">
      <c r="A13">
        <v>8</v>
      </c>
      <c r="B13" s="16">
        <f t="shared" si="2"/>
        <v>0.72138957898383327</v>
      </c>
      <c r="C13" s="2">
        <f t="shared" si="3"/>
        <v>7493.1099401749925</v>
      </c>
      <c r="D13" s="2">
        <f t="shared" si="0"/>
        <v>388.01919264101429</v>
      </c>
      <c r="E13" s="2">
        <f t="shared" si="4"/>
        <v>315.24516531264027</v>
      </c>
      <c r="H13" s="2">
        <f t="shared" si="5"/>
        <v>8436.7560750550947</v>
      </c>
      <c r="I13" s="2">
        <f t="shared" si="1"/>
        <v>55.872556788444335</v>
      </c>
      <c r="K13" s="13">
        <f t="shared" si="6"/>
        <v>-279.91300201694821</v>
      </c>
    </row>
    <row r="14" spans="1:11" x14ac:dyDescent="0.3">
      <c r="A14">
        <v>9</v>
      </c>
      <c r="B14" s="16">
        <f t="shared" si="2"/>
        <v>0.69253399582447994</v>
      </c>
      <c r="C14" s="2">
        <f t="shared" si="3"/>
        <v>7417.303661707936</v>
      </c>
      <c r="D14" s="2">
        <f t="shared" si="0"/>
        <v>388.01919264101429</v>
      </c>
      <c r="E14" s="2">
        <f t="shared" si="4"/>
        <v>312.21291417395804</v>
      </c>
      <c r="H14" s="2">
        <f t="shared" si="5"/>
        <v>8493.0011155554621</v>
      </c>
      <c r="I14" s="2">
        <f t="shared" si="1"/>
        <v>56.245040500367303</v>
      </c>
      <c r="K14" s="13">
        <f t="shared" si="6"/>
        <v>-268.71648193627027</v>
      </c>
    </row>
    <row r="15" spans="1:11" x14ac:dyDescent="0.3">
      <c r="A15">
        <v>10</v>
      </c>
      <c r="B15" s="16">
        <f t="shared" si="2"/>
        <v>0.66483263599150066</v>
      </c>
      <c r="C15" s="2">
        <f t="shared" si="3"/>
        <v>7338.3387883047526</v>
      </c>
      <c r="D15" s="2">
        <f t="shared" si="0"/>
        <v>388.01919264101429</v>
      </c>
      <c r="E15" s="2">
        <f t="shared" si="4"/>
        <v>309.05431923783067</v>
      </c>
      <c r="H15" s="2">
        <f t="shared" si="5"/>
        <v>8549.6211229924993</v>
      </c>
      <c r="I15" s="2">
        <f t="shared" si="1"/>
        <v>56.620007437036413</v>
      </c>
      <c r="K15" s="13">
        <f t="shared" si="6"/>
        <v>-257.96782265881944</v>
      </c>
    </row>
    <row r="16" spans="1:11" x14ac:dyDescent="0.3">
      <c r="A16">
        <v>11</v>
      </c>
      <c r="B16" s="16">
        <f t="shared" si="2"/>
        <v>0.63823933055184057</v>
      </c>
      <c r="C16" s="2">
        <f t="shared" si="3"/>
        <v>7256.0837118431027</v>
      </c>
      <c r="D16" s="2">
        <f t="shared" si="0"/>
        <v>388.01919264101429</v>
      </c>
      <c r="E16" s="2">
        <f t="shared" si="4"/>
        <v>305.76411617936469</v>
      </c>
      <c r="H16" s="2">
        <f t="shared" si="5"/>
        <v>8606.6185971457835</v>
      </c>
      <c r="I16" s="2">
        <f t="shared" si="1"/>
        <v>56.997474153283328</v>
      </c>
      <c r="K16" s="13">
        <f t="shared" si="6"/>
        <v>-247.64910975246661</v>
      </c>
    </row>
    <row r="17" spans="1:11" x14ac:dyDescent="0.3">
      <c r="A17">
        <v>12</v>
      </c>
      <c r="B17" s="16">
        <f t="shared" si="2"/>
        <v>0.61270975732976685</v>
      </c>
      <c r="C17" s="2">
        <f t="shared" si="3"/>
        <v>7170.4013405288842</v>
      </c>
      <c r="D17" s="2">
        <f t="shared" si="0"/>
        <v>388.01919264101429</v>
      </c>
      <c r="E17" s="2">
        <f t="shared" si="4"/>
        <v>302.33682132679593</v>
      </c>
      <c r="H17" s="2">
        <f t="shared" si="5"/>
        <v>8663.996054460089</v>
      </c>
      <c r="I17" s="2">
        <f t="shared" si="1"/>
        <v>57.377457314305225</v>
      </c>
      <c r="K17" s="13">
        <f t="shared" si="6"/>
        <v>-237.74314536236793</v>
      </c>
    </row>
    <row r="18" spans="1:11" x14ac:dyDescent="0.3">
      <c r="A18">
        <v>13</v>
      </c>
      <c r="B18" s="16">
        <f t="shared" si="2"/>
        <v>0.58820136703657611</v>
      </c>
      <c r="C18" s="2">
        <f t="shared" si="3"/>
        <v>7081.1488704099065</v>
      </c>
      <c r="D18" s="2">
        <f t="shared" si="0"/>
        <v>388.01919264101429</v>
      </c>
      <c r="E18" s="2">
        <f t="shared" si="4"/>
        <v>298.76672252203684</v>
      </c>
      <c r="H18" s="2">
        <f t="shared" si="5"/>
        <v>8721.7560281564893</v>
      </c>
      <c r="I18" s="2">
        <f t="shared" si="1"/>
        <v>57.7599736964006</v>
      </c>
      <c r="K18" s="13">
        <f t="shared" si="6"/>
        <v>-228.23341954787318</v>
      </c>
    </row>
    <row r="19" spans="1:11" x14ac:dyDescent="0.3">
      <c r="A19">
        <v>14</v>
      </c>
      <c r="B19" s="16">
        <f t="shared" si="2"/>
        <v>0.56467331235511298</v>
      </c>
      <c r="C19" s="2">
        <f t="shared" si="3"/>
        <v>6988.1775473693051</v>
      </c>
      <c r="D19" s="2">
        <f t="shared" si="0"/>
        <v>388.01919264101429</v>
      </c>
      <c r="E19" s="2">
        <f t="shared" si="4"/>
        <v>295.04786960041275</v>
      </c>
      <c r="H19" s="2">
        <f t="shared" si="5"/>
        <v>8779.9010683441993</v>
      </c>
      <c r="I19" s="2">
        <f t="shared" si="1"/>
        <v>58.145040187709931</v>
      </c>
      <c r="K19" s="13">
        <f t="shared" si="6"/>
        <v>-219.10408276595822</v>
      </c>
    </row>
    <row r="20" spans="1:11" x14ac:dyDescent="0.3">
      <c r="A20">
        <v>15</v>
      </c>
      <c r="B20" s="16">
        <f t="shared" si="2"/>
        <v>0.54208637986090846</v>
      </c>
      <c r="C20" s="2">
        <f t="shared" si="3"/>
        <v>6891.3324192020118</v>
      </c>
      <c r="D20" s="2">
        <f t="shared" si="0"/>
        <v>388.01919264101429</v>
      </c>
      <c r="E20" s="2">
        <f t="shared" si="4"/>
        <v>291.17406447372105</v>
      </c>
      <c r="H20" s="2">
        <f t="shared" si="5"/>
        <v>8838.4337421331602</v>
      </c>
      <c r="I20" s="2">
        <f t="shared" si="1"/>
        <v>58.532673788961326</v>
      </c>
      <c r="K20" s="13">
        <f t="shared" si="6"/>
        <v>-210.33991945531989</v>
      </c>
    </row>
    <row r="21" spans="1:11" x14ac:dyDescent="0.3">
      <c r="A21">
        <v>16</v>
      </c>
      <c r="B21" s="16">
        <f t="shared" si="2"/>
        <v>0.52040292466647209</v>
      </c>
      <c r="C21" s="2">
        <f t="shared" si="3"/>
        <v>6790.4520773610811</v>
      </c>
      <c r="D21" s="2">
        <f t="shared" si="0"/>
        <v>388.01919264101429</v>
      </c>
      <c r="E21" s="2">
        <f t="shared" si="4"/>
        <v>287.13885080008384</v>
      </c>
      <c r="H21" s="2">
        <f t="shared" si="5"/>
        <v>8897.3566337473821</v>
      </c>
      <c r="I21" s="2">
        <f t="shared" si="1"/>
        <v>58.922891614221072</v>
      </c>
      <c r="K21" s="13">
        <f t="shared" si="6"/>
        <v>-201.92632267710707</v>
      </c>
    </row>
    <row r="22" spans="1:11" x14ac:dyDescent="0.3">
      <c r="A22">
        <v>17</v>
      </c>
      <c r="B22" s="16">
        <f t="shared" si="2"/>
        <v>0.49958680767981317</v>
      </c>
      <c r="C22" s="2">
        <f t="shared" si="3"/>
        <v>6685.3683879434448</v>
      </c>
      <c r="D22" s="2">
        <f t="shared" si="0"/>
        <v>388.01919264101429</v>
      </c>
      <c r="E22" s="2">
        <f t="shared" si="4"/>
        <v>282.93550322337836</v>
      </c>
      <c r="H22" s="2">
        <f t="shared" si="5"/>
        <v>8956.6723446390315</v>
      </c>
      <c r="I22" s="2">
        <f t="shared" si="1"/>
        <v>59.315710891649218</v>
      </c>
      <c r="K22" s="13">
        <f t="shared" si="6"/>
        <v>-193.84926977002277</v>
      </c>
    </row>
    <row r="23" spans="1:11" x14ac:dyDescent="0.3">
      <c r="A23">
        <v>18</v>
      </c>
      <c r="B23" s="16">
        <f t="shared" si="2"/>
        <v>0.47960333537262062</v>
      </c>
      <c r="C23" s="2">
        <f t="shared" si="3"/>
        <v>6575.9062114667404</v>
      </c>
      <c r="D23" s="2">
        <f t="shared" si="0"/>
        <v>388.01919264101429</v>
      </c>
      <c r="E23" s="2">
        <f t="shared" si="4"/>
        <v>278.5570161643102</v>
      </c>
      <c r="H23" s="2">
        <f t="shared" si="5"/>
        <v>9016.3834936032908</v>
      </c>
      <c r="I23" s="2">
        <f t="shared" si="1"/>
        <v>59.711148964260211</v>
      </c>
      <c r="K23" s="13">
        <f t="shared" si="6"/>
        <v>-186.09529897922187</v>
      </c>
    </row>
    <row r="24" spans="1:11" x14ac:dyDescent="0.3">
      <c r="A24">
        <v>19</v>
      </c>
      <c r="B24" s="16">
        <f t="shared" si="2"/>
        <v>0.46041920195771574</v>
      </c>
      <c r="C24" s="2">
        <f t="shared" si="3"/>
        <v>6461.8831109701732</v>
      </c>
      <c r="D24" s="2">
        <f t="shared" si="0"/>
        <v>388.01919264101429</v>
      </c>
      <c r="E24" s="2">
        <f t="shared" si="4"/>
        <v>273.99609214444752</v>
      </c>
      <c r="H24" s="2">
        <f t="shared" si="5"/>
        <v>9076.4927168939794</v>
      </c>
      <c r="I24" s="2">
        <f t="shared" si="1"/>
        <v>60.109223290688611</v>
      </c>
      <c r="K24" s="13">
        <f t="shared" si="6"/>
        <v>-178.65148702005297</v>
      </c>
    </row>
    <row r="25" spans="1:11" x14ac:dyDescent="0.3">
      <c r="A25">
        <v>20</v>
      </c>
      <c r="B25" s="16">
        <f t="shared" si="2"/>
        <v>0.44200243387940708</v>
      </c>
      <c r="C25" s="2">
        <f t="shared" si="3"/>
        <v>6343.1090479529157</v>
      </c>
      <c r="D25" s="2">
        <f t="shared" si="0"/>
        <v>388.01919264101429</v>
      </c>
      <c r="E25" s="2">
        <f t="shared" si="4"/>
        <v>269.24512962375724</v>
      </c>
      <c r="H25" s="2">
        <f t="shared" si="5"/>
        <v>9137.0026683399392</v>
      </c>
      <c r="I25" s="2">
        <f t="shared" si="1"/>
        <v>60.509951445959864</v>
      </c>
      <c r="K25" s="13">
        <f t="shared" si="6"/>
        <v>-171.50542753925083</v>
      </c>
    </row>
    <row r="26" spans="1:11" x14ac:dyDescent="0.3">
      <c r="A26">
        <v>21</v>
      </c>
      <c r="B26" s="16">
        <f t="shared" si="2"/>
        <v>0.42432233652423074</v>
      </c>
      <c r="C26" s="2">
        <f t="shared" si="3"/>
        <v>6219.3860656432726</v>
      </c>
      <c r="D26" s="2">
        <f t="shared" si="0"/>
        <v>388.01919264101429</v>
      </c>
      <c r="E26" s="2">
        <f t="shared" si="4"/>
        <v>264.29621033137147</v>
      </c>
      <c r="H26" s="2">
        <f t="shared" si="5"/>
        <v>9197.9160194622054</v>
      </c>
      <c r="I26" s="2">
        <f t="shared" si="1"/>
        <v>60.913351122266256</v>
      </c>
      <c r="K26" s="13">
        <f t="shared" si="6"/>
        <v>-164.64521043768079</v>
      </c>
    </row>
    <row r="27" spans="1:11" x14ac:dyDescent="0.3">
      <c r="A27">
        <v>22</v>
      </c>
      <c r="B27" s="16">
        <f t="shared" si="2"/>
        <v>0.40734944306326148</v>
      </c>
      <c r="C27" s="2">
        <f t="shared" si="3"/>
        <v>6090.5079590707282</v>
      </c>
      <c r="D27" s="2">
        <f t="shared" si="0"/>
        <v>388.01919264101429</v>
      </c>
      <c r="E27" s="2">
        <f t="shared" si="4"/>
        <v>259.14108606846969</v>
      </c>
      <c r="H27" s="2">
        <f t="shared" si="5"/>
        <v>9259.2354595919533</v>
      </c>
      <c r="I27" s="2">
        <f t="shared" si="1"/>
        <v>61.319440129748038</v>
      </c>
      <c r="K27" s="13">
        <f t="shared" si="6"/>
        <v>-158.05940202017354</v>
      </c>
    </row>
    <row r="28" spans="1:11" x14ac:dyDescent="0.3">
      <c r="A28">
        <v>23</v>
      </c>
      <c r="B28" s="16">
        <f t="shared" si="2"/>
        <v>0.39105546534073099</v>
      </c>
      <c r="C28" s="2">
        <f t="shared" si="3"/>
        <v>5956.2599313909941</v>
      </c>
      <c r="D28" s="2">
        <f t="shared" si="0"/>
        <v>388.01919264101429</v>
      </c>
      <c r="E28" s="2">
        <f t="shared" si="4"/>
        <v>253.77116496128033</v>
      </c>
      <c r="H28" s="2">
        <f t="shared" si="5"/>
        <v>9320.9636959892323</v>
      </c>
      <c r="I28" s="2">
        <f t="shared" si="1"/>
        <v>61.728236397279687</v>
      </c>
      <c r="K28" s="13">
        <f t="shared" si="6"/>
        <v>-151.73702593936659</v>
      </c>
    </row>
    <row r="29" spans="1:11" x14ac:dyDescent="0.3">
      <c r="A29">
        <v>24</v>
      </c>
      <c r="B29" s="16">
        <f t="shared" si="2"/>
        <v>0.37541324672710175</v>
      </c>
      <c r="C29" s="2">
        <f t="shared" si="3"/>
        <v>5816.4182358912713</v>
      </c>
      <c r="D29" s="2">
        <f t="shared" si="0"/>
        <v>388.01919264101429</v>
      </c>
      <c r="E29" s="2">
        <f t="shared" si="4"/>
        <v>248.17749714129141</v>
      </c>
      <c r="H29" s="2">
        <f t="shared" si="5"/>
        <v>9383.1034539624943</v>
      </c>
      <c r="I29" s="2">
        <f t="shared" si="1"/>
        <v>62.139757973261545</v>
      </c>
      <c r="K29" s="13">
        <f t="shared" si="6"/>
        <v>-145.66754490179193</v>
      </c>
    </row>
    <row r="30" spans="1:11" x14ac:dyDescent="0.3">
      <c r="A30">
        <v>25</v>
      </c>
      <c r="B30" s="16">
        <f t="shared" si="2"/>
        <v>0.36039671685801766</v>
      </c>
      <c r="C30" s="2">
        <f t="shared" si="3"/>
        <v>5670.7498030790603</v>
      </c>
      <c r="D30" s="2">
        <f t="shared" si="0"/>
        <v>388.01919264101429</v>
      </c>
      <c r="E30" s="2">
        <f t="shared" si="4"/>
        <v>242.35075982880298</v>
      </c>
      <c r="H30" s="2">
        <f t="shared" si="5"/>
        <v>9445.6574769889103</v>
      </c>
      <c r="I30" s="2">
        <f t="shared" si="1"/>
        <v>62.554023026416637</v>
      </c>
      <c r="K30" s="13">
        <f t="shared" si="6"/>
        <v>-139.84084310572024</v>
      </c>
    </row>
    <row r="31" spans="1:11" x14ac:dyDescent="0.3">
      <c r="A31">
        <v>26</v>
      </c>
      <c r="B31" s="16">
        <f t="shared" si="2"/>
        <v>0.34598084818369695</v>
      </c>
      <c r="C31" s="2">
        <f t="shared" si="3"/>
        <v>5519.0118522330067</v>
      </c>
      <c r="D31" s="2">
        <f t="shared" si="0"/>
        <v>388.01919264101429</v>
      </c>
      <c r="E31" s="2">
        <f t="shared" si="4"/>
        <v>236.28124179496083</v>
      </c>
      <c r="H31" s="2">
        <f t="shared" si="5"/>
        <v>9508.6285268355023</v>
      </c>
      <c r="I31" s="2">
        <f t="shared" si="1"/>
        <v>62.971049846592734</v>
      </c>
      <c r="K31" s="13">
        <f t="shared" si="6"/>
        <v>-134.24720938149142</v>
      </c>
    </row>
    <row r="32" spans="1:11" x14ac:dyDescent="0.3">
      <c r="A32">
        <v>27</v>
      </c>
      <c r="B32" s="16">
        <f t="shared" si="2"/>
        <v>0.33214161425634903</v>
      </c>
      <c r="C32" s="2">
        <f t="shared" si="3"/>
        <v>5360.9514867683674</v>
      </c>
      <c r="D32" s="2">
        <f t="shared" si="0"/>
        <v>388.01919264101429</v>
      </c>
      <c r="E32" s="2">
        <f t="shared" si="4"/>
        <v>229.95882717637528</v>
      </c>
      <c r="H32" s="2">
        <f t="shared" si="5"/>
        <v>9572.0193836810722</v>
      </c>
      <c r="I32" s="2">
        <f t="shared" si="1"/>
        <v>63.390856845570021</v>
      </c>
      <c r="K32" s="13">
        <f t="shared" si="6"/>
        <v>-128.87732100623174</v>
      </c>
    </row>
    <row r="33" spans="1:13" x14ac:dyDescent="0.3">
      <c r="A33">
        <v>28</v>
      </c>
      <c r="B33" s="16">
        <f t="shared" si="2"/>
        <v>0.31885594968609504</v>
      </c>
      <c r="C33" s="2">
        <f t="shared" si="3"/>
        <v>5196.3052727427021</v>
      </c>
      <c r="D33" s="2">
        <f t="shared" si="0"/>
        <v>388.01919264101429</v>
      </c>
      <c r="E33" s="2">
        <f t="shared" si="4"/>
        <v>223.37297861534864</v>
      </c>
      <c r="H33" s="2">
        <f t="shared" si="5"/>
        <v>9635.8328462389454</v>
      </c>
      <c r="I33" s="2">
        <f t="shared" si="1"/>
        <v>63.813462557873812</v>
      </c>
      <c r="K33" s="13">
        <f t="shared" si="6"/>
        <v>-123.72222816598247</v>
      </c>
    </row>
    <row r="34" spans="1:13" x14ac:dyDescent="0.3">
      <c r="A34">
        <v>29</v>
      </c>
      <c r="B34" s="16">
        <f t="shared" si="2"/>
        <v>0.30610171169865119</v>
      </c>
      <c r="C34" s="2">
        <f t="shared" si="3"/>
        <v>5024.7987997993005</v>
      </c>
      <c r="D34" s="2">
        <f t="shared" si="0"/>
        <v>388.01919264101429</v>
      </c>
      <c r="E34" s="2">
        <f t="shared" si="4"/>
        <v>216.5127196976126</v>
      </c>
      <c r="H34" s="2">
        <f t="shared" si="5"/>
        <v>9700.0717318805382</v>
      </c>
      <c r="I34" s="2">
        <f t="shared" si="1"/>
        <v>64.238885641592972</v>
      </c>
      <c r="K34" s="13">
        <f t="shared" si="6"/>
        <v>-118.77333903934316</v>
      </c>
    </row>
    <row r="35" spans="1:13" x14ac:dyDescent="0.3">
      <c r="A35">
        <v>30</v>
      </c>
      <c r="B35" s="16">
        <f t="shared" si="2"/>
        <v>0.29385764323070512</v>
      </c>
      <c r="C35" s="2">
        <f t="shared" si="3"/>
        <v>4846.1462238165905</v>
      </c>
      <c r="D35" s="2">
        <f t="shared" si="0"/>
        <v>388.01919264101429</v>
      </c>
      <c r="E35" s="2">
        <f t="shared" si="4"/>
        <v>209.3666166583042</v>
      </c>
      <c r="H35" s="2">
        <f t="shared" si="5"/>
        <v>9764.7388767597422</v>
      </c>
      <c r="I35" s="2">
        <f t="shared" si="1"/>
        <v>64.66714487920359</v>
      </c>
      <c r="K35" s="13">
        <f t="shared" si="6"/>
        <v>-114.02240547776942</v>
      </c>
    </row>
    <row r="36" spans="1:13" x14ac:dyDescent="0.3">
      <c r="A36">
        <v>31</v>
      </c>
      <c r="B36" s="16">
        <f t="shared" si="2"/>
        <v>0.28210333750147693</v>
      </c>
      <c r="C36" s="2">
        <f t="shared" si="3"/>
        <v>4660.0497905012671</v>
      </c>
      <c r="D36" s="2">
        <f t="shared" si="0"/>
        <v>388.01919264101429</v>
      </c>
      <c r="E36" s="2">
        <f t="shared" si="4"/>
        <v>201.92275932569126</v>
      </c>
      <c r="H36" s="2">
        <f t="shared" si="5"/>
        <v>9829.8371359381399</v>
      </c>
      <c r="I36" s="2">
        <f t="shared" si="1"/>
        <v>65.09825917839828</v>
      </c>
      <c r="K36" s="13">
        <f t="shared" si="6"/>
        <v>-109.46150925865865</v>
      </c>
    </row>
    <row r="37" spans="1:13" x14ac:dyDescent="0.3">
      <c r="A37">
        <v>32</v>
      </c>
      <c r="B37" s="16">
        <f t="shared" si="2"/>
        <v>0.27081920400141785</v>
      </c>
      <c r="C37" s="2">
        <f t="shared" si="3"/>
        <v>4466.1993391311389</v>
      </c>
      <c r="D37" s="2">
        <f t="shared" si="0"/>
        <v>388.01919264101429</v>
      </c>
      <c r="E37" s="2">
        <f t="shared" si="4"/>
        <v>194.16874127088613</v>
      </c>
      <c r="H37" s="2">
        <f t="shared" si="5"/>
        <v>9895.3693835110607</v>
      </c>
      <c r="I37" s="2">
        <f t="shared" si="1"/>
        <v>65.532247572920937</v>
      </c>
      <c r="K37" s="13">
        <f t="shared" si="6"/>
        <v>-105.08304888831229</v>
      </c>
    </row>
    <row r="38" spans="1:13" x14ac:dyDescent="0.3">
      <c r="A38">
        <v>33</v>
      </c>
      <c r="B38" s="16">
        <f t="shared" si="2"/>
        <v>0.25998643584136111</v>
      </c>
      <c r="C38" s="2">
        <f t="shared" si="3"/>
        <v>4264.2717856205891</v>
      </c>
      <c r="D38" s="2">
        <f t="shared" si="0"/>
        <v>388.01919264101429</v>
      </c>
      <c r="E38" s="2">
        <f t="shared" si="4"/>
        <v>186.09163913046413</v>
      </c>
      <c r="H38" s="2">
        <f t="shared" si="5"/>
        <v>9961.3385127344682</v>
      </c>
      <c r="I38" s="2">
        <f t="shared" si="1"/>
        <v>65.96912922340708</v>
      </c>
      <c r="K38" s="13">
        <f t="shared" si="6"/>
        <v>-100.8797269327798</v>
      </c>
    </row>
    <row r="39" spans="1:13" x14ac:dyDescent="0.3">
      <c r="A39">
        <v>34</v>
      </c>
      <c r="B39" s="16">
        <f t="shared" si="2"/>
        <v>0.24958697840770663</v>
      </c>
      <c r="C39" s="2">
        <f t="shared" si="3"/>
        <v>4053.9305840470993</v>
      </c>
      <c r="D39" s="2">
        <f t="shared" si="0"/>
        <v>388.01919264101429</v>
      </c>
      <c r="E39" s="2">
        <f t="shared" si="4"/>
        <v>177.67799106752454</v>
      </c>
      <c r="H39" s="2">
        <f t="shared" si="5"/>
        <v>10027.747436152698</v>
      </c>
      <c r="I39" s="2">
        <f t="shared" si="1"/>
        <v>66.40892341822979</v>
      </c>
      <c r="K39" s="13">
        <f t="shared" si="6"/>
        <v>-96.844537855468587</v>
      </c>
    </row>
    <row r="40" spans="1:13" x14ac:dyDescent="0.3">
      <c r="A40">
        <v>35</v>
      </c>
      <c r="B40" s="16">
        <f t="shared" si="2"/>
        <v>0.23960349927139835</v>
      </c>
      <c r="C40" s="2">
        <f t="shared" si="3"/>
        <v>3834.8251657413807</v>
      </c>
      <c r="D40" s="2">
        <f t="shared" si="0"/>
        <v>388.01919264101429</v>
      </c>
      <c r="E40" s="2">
        <f t="shared" si="4"/>
        <v>168.91377433529581</v>
      </c>
      <c r="H40" s="2">
        <f t="shared" si="5"/>
        <v>10094.59908572705</v>
      </c>
      <c r="I40" s="2">
        <f t="shared" si="1"/>
        <v>66.851649574351327</v>
      </c>
      <c r="K40" s="13">
        <f t="shared" si="6"/>
        <v>-92.970756341249839</v>
      </c>
    </row>
    <row r="41" spans="1:13" x14ac:dyDescent="0.3">
      <c r="A41">
        <v>36</v>
      </c>
      <c r="B41" s="16">
        <f t="shared" si="2"/>
        <v>0.2300193593005424</v>
      </c>
      <c r="C41" s="2">
        <f t="shared" si="3"/>
        <v>3606.5903550062571</v>
      </c>
      <c r="D41" s="2">
        <f t="shared" si="0"/>
        <v>388.01919264101429</v>
      </c>
      <c r="E41" s="2">
        <f t="shared" si="4"/>
        <v>159.78438190589085</v>
      </c>
      <c r="H41" s="2">
        <f t="shared" si="5"/>
        <v>10161.89641296523</v>
      </c>
      <c r="I41" s="2">
        <f t="shared" si="1"/>
        <v>67.29732723818033</v>
      </c>
      <c r="K41" s="13">
        <f t="shared" si="6"/>
        <v>-89.251926087599841</v>
      </c>
    </row>
    <row r="42" spans="1:13" x14ac:dyDescent="0.3">
      <c r="A42">
        <v>37</v>
      </c>
      <c r="B42" s="16">
        <f t="shared" si="2"/>
        <v>0.22081858492852069</v>
      </c>
      <c r="C42" s="2">
        <f t="shared" si="3"/>
        <v>3368.8457604905034</v>
      </c>
      <c r="D42" s="2">
        <f t="shared" si="0"/>
        <v>388.01919264101429</v>
      </c>
      <c r="E42" s="2">
        <f t="shared" si="4"/>
        <v>150.27459812526072</v>
      </c>
      <c r="H42" s="2">
        <f t="shared" si="5"/>
        <v>10229.642389051665</v>
      </c>
      <c r="I42" s="2">
        <f t="shared" si="1"/>
        <v>67.745976086434879</v>
      </c>
      <c r="K42" s="13">
        <f t="shared" si="6"/>
        <v>-85.681849044095841</v>
      </c>
    </row>
    <row r="43" spans="1:13" x14ac:dyDescent="0.3">
      <c r="A43">
        <v>38</v>
      </c>
      <c r="B43" s="16">
        <f t="shared" si="2"/>
        <v>0.21198584153137984</v>
      </c>
      <c r="C43" s="2">
        <f t="shared" si="3"/>
        <v>3121.1951412032599</v>
      </c>
      <c r="D43" s="2">
        <f t="shared" si="0"/>
        <v>388.01919264101429</v>
      </c>
      <c r="E43" s="2">
        <f t="shared" si="4"/>
        <v>140.36857335377098</v>
      </c>
      <c r="H43" s="2">
        <f t="shared" si="5"/>
        <v>10297.840004978676</v>
      </c>
      <c r="I43" s="2">
        <f t="shared" si="1"/>
        <v>68.1976159270111</v>
      </c>
      <c r="K43" s="13">
        <f t="shared" si="6"/>
        <v>-82.254575082331996</v>
      </c>
      <c r="M43" t="s">
        <v>50</v>
      </c>
    </row>
    <row r="44" spans="1:13" x14ac:dyDescent="0.3">
      <c r="A44">
        <v>39</v>
      </c>
      <c r="B44" s="16">
        <f t="shared" si="2"/>
        <v>0.20350640787012464</v>
      </c>
      <c r="C44" s="2">
        <f t="shared" si="3"/>
        <v>2863.2257461123813</v>
      </c>
      <c r="D44" s="2">
        <f t="shared" si="0"/>
        <v>388.01919264101429</v>
      </c>
      <c r="E44" s="2">
        <f t="shared" si="4"/>
        <v>130.04979755013582</v>
      </c>
      <c r="H44" s="2">
        <f t="shared" si="5"/>
        <v>10366.492271678533</v>
      </c>
      <c r="I44" s="2">
        <f t="shared" si="1"/>
        <v>68.652266699857833</v>
      </c>
      <c r="K44" s="13">
        <f t="shared" si="6"/>
        <v>-78.964392079038717</v>
      </c>
      <c r="M44" t="s">
        <v>51</v>
      </c>
    </row>
    <row r="45" spans="1:13" x14ac:dyDescent="0.3">
      <c r="A45">
        <v>40</v>
      </c>
      <c r="B45" s="16">
        <f t="shared" si="2"/>
        <v>0.19536615155531964</v>
      </c>
      <c r="C45" s="2">
        <f t="shared" si="3"/>
        <v>2594.5076262260495</v>
      </c>
      <c r="D45" s="2">
        <f t="shared" si="0"/>
        <v>388.01919264101429</v>
      </c>
      <c r="E45" s="2">
        <f t="shared" si="4"/>
        <v>119.30107275468255</v>
      </c>
      <c r="H45" s="2">
        <f t="shared" si="5"/>
        <v>10435.60222015639</v>
      </c>
      <c r="I45" s="2">
        <f t="shared" si="1"/>
        <v>69.109948477856889</v>
      </c>
      <c r="K45" s="13">
        <f t="shared" si="6"/>
        <v>-75.805816395877159</v>
      </c>
    </row>
    <row r="46" spans="1:13" x14ac:dyDescent="0.3">
      <c r="A46">
        <v>41</v>
      </c>
      <c r="B46" s="16">
        <f t="shared" si="2"/>
        <v>0.18755150549310684</v>
      </c>
      <c r="C46" s="2">
        <f t="shared" si="3"/>
        <v>2314.5929180111207</v>
      </c>
      <c r="D46" s="2">
        <f t="shared" si="0"/>
        <v>388.01919264101429</v>
      </c>
      <c r="E46" s="2">
        <f t="shared" si="4"/>
        <v>108.10448442608539</v>
      </c>
      <c r="H46" s="2">
        <f t="shared" si="5"/>
        <v>10505.172901624099</v>
      </c>
      <c r="I46" s="2">
        <f t="shared" si="1"/>
        <v>69.570681467709264</v>
      </c>
      <c r="K46" s="13">
        <f t="shared" si="6"/>
        <v>-72.773583740042071</v>
      </c>
    </row>
    <row r="47" spans="1:13" x14ac:dyDescent="0.3">
      <c r="A47">
        <v>42</v>
      </c>
      <c r="B47" s="16">
        <f t="shared" si="2"/>
        <v>0.18004944527338254</v>
      </c>
      <c r="C47" s="2">
        <f t="shared" si="3"/>
        <v>2023.0150969539031</v>
      </c>
      <c r="D47" s="2">
        <f t="shared" si="0"/>
        <v>388.01919264101429</v>
      </c>
      <c r="E47" s="2">
        <f t="shared" si="4"/>
        <v>96.441371583796695</v>
      </c>
      <c r="H47" s="2">
        <f t="shared" si="5"/>
        <v>10575.207387634926</v>
      </c>
      <c r="I47" s="2">
        <f t="shared" si="1"/>
        <v>70.034486010827322</v>
      </c>
      <c r="K47" s="13">
        <f t="shared" si="6"/>
        <v>-69.862640390440376</v>
      </c>
    </row>
    <row r="48" spans="1:13" x14ac:dyDescent="0.3">
      <c r="A48">
        <v>43</v>
      </c>
      <c r="B48" s="16">
        <f t="shared" si="2"/>
        <v>0.17284746746244722</v>
      </c>
      <c r="C48" s="2">
        <f t="shared" si="3"/>
        <v>1719.2882000193015</v>
      </c>
      <c r="D48" s="2">
        <f t="shared" si="0"/>
        <v>388.01919264101429</v>
      </c>
      <c r="E48" s="2">
        <f t="shared" si="4"/>
        <v>84.292295706412631</v>
      </c>
      <c r="H48" s="2">
        <f t="shared" si="5"/>
        <v>10645.708770219158</v>
      </c>
      <c r="I48" s="2">
        <f t="shared" si="1"/>
        <v>70.501382584232843</v>
      </c>
      <c r="K48" s="13">
        <f>(J48-D48)*B48</f>
        <v>-67.068134774822752</v>
      </c>
    </row>
    <row r="49" spans="1:11" x14ac:dyDescent="0.3">
      <c r="A49">
        <v>44</v>
      </c>
      <c r="B49" s="16">
        <f t="shared" si="2"/>
        <v>0.16593356876394932</v>
      </c>
      <c r="C49" s="2">
        <f t="shared" si="3"/>
        <v>1402.9060157124247</v>
      </c>
      <c r="D49" s="2">
        <f t="shared" si="0"/>
        <v>388.01919264101429</v>
      </c>
      <c r="E49" s="2">
        <f t="shared" si="4"/>
        <v>71.637008334137562</v>
      </c>
      <c r="H49" s="2">
        <f t="shared" si="5"/>
        <v>10716.680162020619</v>
      </c>
      <c r="I49" s="2">
        <f t="shared" si="1"/>
        <v>70.971391801461053</v>
      </c>
      <c r="K49" s="13">
        <f t="shared" si="6"/>
        <v>-64.385409383829838</v>
      </c>
    </row>
    <row r="50" spans="1:11" x14ac:dyDescent="0.3">
      <c r="A50">
        <v>45</v>
      </c>
      <c r="B50" s="16">
        <f t="shared" si="2"/>
        <v>0.15929622601339133</v>
      </c>
      <c r="C50" s="2">
        <f t="shared" si="3"/>
        <v>1073.3412403927614</v>
      </c>
      <c r="D50" s="2">
        <f t="shared" si="0"/>
        <v>388.01919264101429</v>
      </c>
      <c r="E50" s="2">
        <f t="shared" si="4"/>
        <v>58.454417321351031</v>
      </c>
      <c r="H50" s="2">
        <f t="shared" si="5"/>
        <v>10788.12469643409</v>
      </c>
      <c r="I50" s="2">
        <f t="shared" si="1"/>
        <v>71.444534413470791</v>
      </c>
      <c r="K50" s="13">
        <f t="shared" si="6"/>
        <v>-61.809993008476638</v>
      </c>
    </row>
    <row r="51" spans="1:11" x14ac:dyDescent="0.3">
      <c r="A51">
        <v>46</v>
      </c>
      <c r="B51" s="16">
        <f t="shared" si="2"/>
        <v>0.15292437697285566</v>
      </c>
      <c r="C51" s="2">
        <f t="shared" si="3"/>
        <v>730.04459943477877</v>
      </c>
      <c r="D51" s="2">
        <f t="shared" si="0"/>
        <v>388.01919264101429</v>
      </c>
      <c r="E51" s="2">
        <f t="shared" si="4"/>
        <v>44.722551683031725</v>
      </c>
      <c r="H51" s="2">
        <f t="shared" si="5"/>
        <v>10860.04552774365</v>
      </c>
      <c r="I51" s="2">
        <f t="shared" si="1"/>
        <v>71.920831309560597</v>
      </c>
      <c r="K51" s="13">
        <f t="shared" si="6"/>
        <v>-59.337593288137569</v>
      </c>
    </row>
    <row r="52" spans="1:11" x14ac:dyDescent="0.3">
      <c r="A52">
        <v>47</v>
      </c>
      <c r="B52" s="16">
        <f t="shared" si="2"/>
        <v>0.14680740189394142</v>
      </c>
      <c r="C52" s="2">
        <f t="shared" si="3"/>
        <v>372.44393177021362</v>
      </c>
      <c r="D52" s="2">
        <f t="shared" si="0"/>
        <v>388.01919264101429</v>
      </c>
      <c r="E52" s="2">
        <f t="shared" si="4"/>
        <v>30.418524976449117</v>
      </c>
      <c r="H52" s="2">
        <f t="shared" si="5"/>
        <v>10932.445831261941</v>
      </c>
      <c r="I52" s="2">
        <f t="shared" si="1"/>
        <v>72.400303518291011</v>
      </c>
      <c r="K52" s="13">
        <f t="shared" si="6"/>
        <v>-56.964089556612066</v>
      </c>
    </row>
    <row r="53" spans="1:11" x14ac:dyDescent="0.3">
      <c r="A53">
        <v>48</v>
      </c>
      <c r="B53" s="16">
        <f t="shared" si="2"/>
        <v>0.14093510581818375</v>
      </c>
      <c r="C53" s="2">
        <f t="shared" si="3"/>
        <v>-5.6763713708427588E-2</v>
      </c>
      <c r="D53" s="2">
        <f t="shared" si="0"/>
        <v>388.01919264101429</v>
      </c>
      <c r="E53" s="2">
        <f t="shared" si="4"/>
        <v>15.518497157092234</v>
      </c>
      <c r="H53" s="2">
        <f t="shared" si="5"/>
        <v>11005.328803470355</v>
      </c>
      <c r="I53" s="2">
        <f t="shared" si="1"/>
        <v>72.882972208412937</v>
      </c>
      <c r="J53" s="14">
        <f>H53</f>
        <v>11005.328803470355</v>
      </c>
      <c r="K53" s="13">
        <f>(J53-D53)*B53</f>
        <v>1496.3516535066526</v>
      </c>
    </row>
    <row r="54" spans="1:11" x14ac:dyDescent="0.3">
      <c r="D54" s="14">
        <f>SUM(D6:D53)</f>
        <v>18624.921246768674</v>
      </c>
      <c r="E54" s="17">
        <f>SUM(E6:E53)</f>
        <v>10624.864483054978</v>
      </c>
      <c r="I54" s="17">
        <f>SUM(I6:I53)</f>
        <v>3005.3288034703564</v>
      </c>
      <c r="K54" s="15">
        <f>SUM(K5:K53)</f>
        <v>-6448.9708205189827</v>
      </c>
    </row>
    <row r="55" spans="1:11" x14ac:dyDescent="0.3">
      <c r="D55" t="s">
        <v>29</v>
      </c>
      <c r="E55" t="s">
        <v>30</v>
      </c>
      <c r="I55" t="s">
        <v>32</v>
      </c>
      <c r="K55" s="3" t="s">
        <v>28</v>
      </c>
    </row>
    <row r="57" spans="1:11" x14ac:dyDescent="0.3">
      <c r="A57" t="s">
        <v>33</v>
      </c>
    </row>
    <row r="58" spans="1:11" x14ac:dyDescent="0.3">
      <c r="A58" t="s">
        <v>34</v>
      </c>
    </row>
    <row r="59" spans="1:11" x14ac:dyDescent="0.3">
      <c r="A59" s="19" t="s">
        <v>38</v>
      </c>
      <c r="B59" s="19"/>
      <c r="C59" s="19"/>
      <c r="D59" s="19"/>
    </row>
    <row r="60" spans="1:11" x14ac:dyDescent="0.3">
      <c r="A60" t="s">
        <v>35</v>
      </c>
    </row>
    <row r="61" spans="1:11" x14ac:dyDescent="0.3">
      <c r="A61" s="19" t="s">
        <v>37</v>
      </c>
      <c r="B61" s="19"/>
      <c r="C61" s="19"/>
      <c r="D61" s="19"/>
    </row>
    <row r="62" spans="1:11" x14ac:dyDescent="0.3">
      <c r="A62" t="s">
        <v>39</v>
      </c>
    </row>
    <row r="63" spans="1:11" x14ac:dyDescent="0.3">
      <c r="A63" s="19" t="s">
        <v>41</v>
      </c>
      <c r="B63" s="19"/>
      <c r="C63" s="19"/>
      <c r="D63" s="19"/>
    </row>
    <row r="64" spans="1:11" x14ac:dyDescent="0.3">
      <c r="A64" t="s">
        <v>40</v>
      </c>
    </row>
    <row r="65" spans="1:5" x14ac:dyDescent="0.3">
      <c r="A65" s="19" t="s">
        <v>42</v>
      </c>
      <c r="B65" s="19"/>
      <c r="C65" s="19"/>
      <c r="D65" s="19"/>
      <c r="E65" s="19"/>
    </row>
    <row r="66" spans="1:5" x14ac:dyDescent="0.3">
      <c r="A66" t="s">
        <v>36</v>
      </c>
    </row>
    <row r="67" spans="1:5" x14ac:dyDescent="0.3">
      <c r="A67" s="19" t="s">
        <v>49</v>
      </c>
      <c r="B67" s="19"/>
      <c r="C67" s="19"/>
      <c r="D67" s="19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PMT Function</vt:lpstr>
      <vt:lpstr>Spreadsheet</vt:lpstr>
      <vt:lpstr>IRR</vt:lpstr>
      <vt:lpstr>Mortgage Refi</vt:lpstr>
      <vt:lpstr>Rounding</vt:lpstr>
      <vt:lpstr>Car Loan</vt:lpstr>
      <vt:lpstr>APR</vt:lpstr>
      <vt:lpstr>CD_rate</vt:lpstr>
      <vt:lpstr>Loan_payment</vt:lpstr>
      <vt:lpstr>Loan_rate</vt:lpstr>
      <vt:lpstr>Monthly_Payment</vt:lpstr>
      <vt:lpstr>New_Variable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Hall</dc:creator>
  <cp:lastModifiedBy>Joseph Hall</cp:lastModifiedBy>
  <dcterms:created xsi:type="dcterms:W3CDTF">2019-10-09T20:17:44Z</dcterms:created>
  <dcterms:modified xsi:type="dcterms:W3CDTF">2021-04-22T01:01:29Z</dcterms:modified>
</cp:coreProperties>
</file>